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Y:\Commercial\Creative\Website\Current Website AIP's\"/>
    </mc:Choice>
  </mc:AlternateContent>
  <xr:revisionPtr revIDLastSave="0" documentId="13_ncr:1_{851689DE-845A-4D05-A319-0AD50CA412E7}" xr6:coauthVersionLast="47" xr6:coauthVersionMax="47" xr10:uidLastSave="{00000000-0000-0000-0000-000000000000}"/>
  <workbookProtection workbookAlgorithmName="SHA-512" workbookHashValue="hIiPXMGbLgXh0HBxAwDdUEF5tgKgKRZuw21FltKGN62Xbrkiu6D140hhWa/uk6+WSOehywPxnA4Oa2IyBNyngA==" workbookSaltValue="u6m2FVcv9w9KGCo4hP5+Hg==" workbookSpinCount="100000" lockStructure="1"/>
  <bookViews>
    <workbookView xWindow="2160" yWindow="1020" windowWidth="25725" windowHeight="13665" xr2:uid="{00000000-000D-0000-FFFF-FFFF00000000}"/>
  </bookViews>
  <sheets>
    <sheet name="AIP Indicator" sheetId="9" r:id="rId1"/>
    <sheet name="Input" sheetId="7" state="hidden" r:id="rId2"/>
    <sheet name="Output" sheetId="8" state="hidden" r:id="rId3"/>
    <sheet name="Calculations" sheetId="2" state="hidden" r:id="rId4"/>
    <sheet name="Mortgage Certificate" sheetId="6" r:id="rId5"/>
    <sheet name="Metrics &amp; Drop Downs" sheetId="3" state="hidden" r:id="rId6"/>
    <sheet name="Risk Assessment New Client" sheetId="12" state="hidden" r:id="rId7"/>
    <sheet name="Calculation" sheetId="11" state="hidden" r:id="rId8"/>
    <sheet name="Risk Ratings" sheetId="10" state="hidden" r:id="rId9"/>
    <sheet name="Sheet1" sheetId="5" state="hidden" r:id="rId10"/>
  </sheets>
  <externalReferences>
    <externalReference r:id="rId11"/>
    <externalReference r:id="rId12"/>
  </externalReferences>
  <definedNames>
    <definedName name="_xlnm._FilterDatabase" localSheetId="5" hidden="1">'Metrics &amp; Drop Downs'!$F$3:$U$40</definedName>
    <definedName name="_xlnm._FilterDatabase" localSheetId="8" hidden="1">'Risk Ratings'!$A$1:$C$234</definedName>
    <definedName name="Amount_Requested">Input!$B$44</definedName>
    <definedName name="Available_Products">Metrics &amp; Drop [1]Downs!$AE$3:$AE$30</definedName>
    <definedName name="BTL_Affordability">'Metrics &amp; Drop Downs'!$D$17</definedName>
    <definedName name="BTL_Affordability_Indicator">Calculations!#REF!</definedName>
    <definedName name="BTL_Min_Income">'Metrics &amp; Drop Downs'!$D$15</definedName>
    <definedName name="BTL_Stress_Rate">'Metrics &amp; Drop Downs'!#REF!</definedName>
    <definedName name="Buy_to_Let">Input!$B$39</definedName>
    <definedName name="C_and_I">Calculations!$K$4</definedName>
    <definedName name="DoB_App_1">Input!$B$12</definedName>
    <definedName name="DoB_App_2">Input!$E$12</definedName>
    <definedName name="Employment_Status">'Metrics &amp; Drop Downs'!$D$15:$D$17</definedName>
    <definedName name="Extra_Rent_Affordability">'Metrics &amp; Drop Downs'!$D$18</definedName>
    <definedName name="First_App_Age">Calculations!$B$60</definedName>
    <definedName name="Income">'AIP Indicator'!$D$19</definedName>
    <definedName name="Interest_Rate">#REF!</definedName>
    <definedName name="Island">'[2]AIP Indicator'!$G$1</definedName>
    <definedName name="LTV">'AIP Indicator'!$G$25</definedName>
    <definedName name="Max_Age">'Metrics &amp; Drop Downs'!$D$44</definedName>
    <definedName name="Max_App_Age">'Metrics &amp; Drop Downs'!$D$47</definedName>
    <definedName name="Max_Joint_Age">'Metrics &amp; Drop Downs'!$D$43</definedName>
    <definedName name="Max_Loan_Available">Calculations!$B$7</definedName>
    <definedName name="Max_Product_LTV">#REF!</definedName>
    <definedName name="Min_App_Age">'Metrics &amp; Drop Downs'!$D$48</definedName>
    <definedName name="Min_Valuation">'Metrics &amp; Drop Downs'!$D$12</definedName>
    <definedName name="Overall_Max_LTV">Calculations!$B$38</definedName>
    <definedName name="_xlnm.Print_Area" localSheetId="4">'Mortgage Certificate'!$A$1:$A$24</definedName>
    <definedName name="Product_Term">'Metrics &amp; Drop Downs'!$D$11</definedName>
    <definedName name="Product_Type">'Metrics &amp; Drop Downs'!$AM$3:$AM$35</definedName>
    <definedName name="Property_Value">Input!$B$37</definedName>
    <definedName name="Refer_Affordability_Perc">'Metrics &amp; Drop Downs'!$B$21</definedName>
    <definedName name="Refer_Age">'Metrics &amp; Drop Downs'!$D$45</definedName>
    <definedName name="Refer_Age_Self_Employed">'Metrics &amp; Drop Downs'!$D$46</definedName>
    <definedName name="Refer_LTV_Perc">'Metrics &amp; Drop Downs'!$B$22</definedName>
    <definedName name="Refer_Max">'Metrics &amp; Drop Downs'!$B$29</definedName>
    <definedName name="Refer_Min">'Metrics &amp; Drop Downs'!$B$28</definedName>
    <definedName name="Rent_mth">Input!$B$40</definedName>
    <definedName name="Requested_Term">Input!$B$45</definedName>
    <definedName name="SE_App_1">Input!$B$13</definedName>
    <definedName name="SE_App_2">Input!$E$13</definedName>
    <definedName name="Second_App_Age">Calculations!$B$61</definedName>
    <definedName name="Selected_Product">Input!$B$42</definedName>
    <definedName name="Standard_Variable_Rate">'Metrics &amp; Drop Downs'!$G$4</definedName>
    <definedName name="Stress_C_and_I">Calculations!$B$4</definedName>
    <definedName name="Stress_Rate">Calculations!#REF!</definedName>
    <definedName name="Title">'Metrics &amp; Drop Downs'!$A$4:$A$7</definedName>
    <definedName name="Tolerance_ICR">'Metrics &amp; Drop Downs'!$B$29</definedName>
    <definedName name="Tolerance_Income">'Metrics &amp; Drop Downs'!$B$26</definedName>
    <definedName name="Tolerance_Min_Loan">'Metrics &amp; Drop Downs'!$B$28</definedName>
    <definedName name="Tolerance_Valid">Calculations!$B$2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3" l="1"/>
  <c r="E14" i="7"/>
  <c r="G13" i="3"/>
  <c r="L13" i="3"/>
  <c r="C9" i="12" l="1"/>
  <c r="C8" i="12"/>
  <c r="C7" i="12"/>
  <c r="C6" i="12"/>
  <c r="C5" i="12"/>
  <c r="A23" i="2"/>
  <c r="A24" i="2"/>
  <c r="A25" i="2"/>
  <c r="A26" i="2"/>
  <c r="A27" i="2"/>
  <c r="A28" i="2"/>
  <c r="L8" i="3"/>
  <c r="J29" i="3"/>
  <c r="L6" i="3"/>
  <c r="Q36" i="9" l="1"/>
  <c r="P18" i="3"/>
  <c r="P20" i="3"/>
  <c r="P21" i="3"/>
  <c r="P24" i="3"/>
  <c r="P26" i="3"/>
  <c r="P27" i="3"/>
  <c r="A18" i="6"/>
  <c r="F11" i="3" l="1"/>
  <c r="H23" i="3"/>
  <c r="G23" i="3"/>
  <c r="H22" i="3"/>
  <c r="G22" i="3"/>
  <c r="H21" i="3"/>
  <c r="G21" i="3"/>
  <c r="H20" i="3"/>
  <c r="G20" i="3"/>
  <c r="H19" i="3"/>
  <c r="G19" i="3"/>
  <c r="H18" i="3"/>
  <c r="G18" i="3"/>
  <c r="G17" i="3"/>
  <c r="H16" i="3"/>
  <c r="H29" i="3" s="1"/>
  <c r="G16" i="3"/>
  <c r="G29" i="3" s="1"/>
  <c r="H15" i="3"/>
  <c r="H28" i="3" s="1"/>
  <c r="G15" i="3"/>
  <c r="G28" i="3" s="1"/>
  <c r="H14" i="3"/>
  <c r="H27" i="3" s="1"/>
  <c r="G14" i="3"/>
  <c r="G27" i="3" s="1"/>
  <c r="H13" i="3"/>
  <c r="H26" i="3" s="1"/>
  <c r="G26" i="3"/>
  <c r="H12" i="3"/>
  <c r="H25" i="3" s="1"/>
  <c r="G12" i="3"/>
  <c r="G25" i="3" s="1"/>
  <c r="H11" i="3"/>
  <c r="H24" i="3" s="1"/>
  <c r="G11" i="3"/>
  <c r="G24" i="3" s="1"/>
  <c r="C4" i="12" l="1"/>
  <c r="C5" i="11" l="1"/>
  <c r="E5" i="11" s="1"/>
  <c r="B7" i="12"/>
  <c r="B5" i="11" s="1"/>
  <c r="D5" i="11" l="1"/>
  <c r="B13" i="12"/>
  <c r="L4" i="3" l="1"/>
  <c r="L5" i="3" l="1"/>
  <c r="L7" i="3"/>
  <c r="L9" i="3"/>
  <c r="L10" i="3"/>
  <c r="L11" i="3"/>
  <c r="L12" i="3"/>
  <c r="L17" i="3"/>
  <c r="L18" i="3"/>
  <c r="L19" i="3"/>
  <c r="L20" i="3"/>
  <c r="L24" i="3"/>
  <c r="L25" i="3"/>
  <c r="L26" i="3"/>
  <c r="T27" i="3" l="1"/>
  <c r="L21" i="3" l="1"/>
  <c r="L22" i="3"/>
  <c r="L23" i="3"/>
  <c r="K19" i="3"/>
  <c r="K20" i="3"/>
  <c r="K21" i="3"/>
  <c r="K23" i="3"/>
  <c r="T18" i="3"/>
  <c r="T19" i="3"/>
  <c r="T20" i="3"/>
  <c r="T21" i="3"/>
  <c r="T22" i="3"/>
  <c r="T23" i="3"/>
  <c r="T24" i="3"/>
  <c r="T26" i="3"/>
  <c r="T17" i="3"/>
  <c r="K17" i="3"/>
  <c r="J17" i="3"/>
  <c r="F17" i="3"/>
  <c r="A22" i="2" s="1"/>
  <c r="D57" i="3" l="1"/>
  <c r="F56" i="3"/>
  <c r="D56" i="3"/>
  <c r="F55" i="3"/>
  <c r="D55" i="3"/>
  <c r="F54" i="3"/>
  <c r="D54" i="3"/>
  <c r="F53" i="3"/>
  <c r="D53" i="3"/>
  <c r="F52" i="3"/>
  <c r="D40" i="3"/>
  <c r="AA31" i="3" l="1"/>
  <c r="AA32" i="3"/>
  <c r="AA33" i="3"/>
  <c r="AA34" i="3"/>
  <c r="AA35" i="3"/>
  <c r="F24" i="3"/>
  <c r="A29" i="2" s="1"/>
  <c r="K16" i="3"/>
  <c r="K29" i="3" s="1"/>
  <c r="J16" i="3"/>
  <c r="I16" i="3"/>
  <c r="F16" i="3"/>
  <c r="J15" i="3"/>
  <c r="I15" i="3"/>
  <c r="F15" i="3"/>
  <c r="K14" i="3"/>
  <c r="K27" i="3" s="1"/>
  <c r="J14" i="3"/>
  <c r="I14" i="3"/>
  <c r="F14" i="3"/>
  <c r="K13" i="3"/>
  <c r="K26" i="3" s="1"/>
  <c r="J13" i="3"/>
  <c r="I13" i="3"/>
  <c r="F13" i="3"/>
  <c r="K12" i="3"/>
  <c r="K25" i="3" s="1"/>
  <c r="J12" i="3"/>
  <c r="I12" i="3"/>
  <c r="F12" i="3"/>
  <c r="F25" i="3" s="1"/>
  <c r="A30" i="2" s="1"/>
  <c r="K11" i="3"/>
  <c r="J11" i="3"/>
  <c r="I11" i="3"/>
  <c r="F29" i="3" l="1"/>
  <c r="A21" i="2"/>
  <c r="F27" i="3"/>
  <c r="A32" i="2" s="1"/>
  <c r="A19" i="2"/>
  <c r="F28" i="3"/>
  <c r="A33" i="2" s="1"/>
  <c r="A20" i="2"/>
  <c r="F26" i="3"/>
  <c r="A31" i="2" s="1"/>
  <c r="A18" i="2"/>
  <c r="L29" i="3"/>
  <c r="L16" i="3"/>
  <c r="L28" i="3"/>
  <c r="L15" i="3"/>
  <c r="L27" i="3"/>
  <c r="L14" i="3"/>
  <c r="N32" i="9"/>
  <c r="Q32" i="9" s="1"/>
  <c r="N35" i="9"/>
  <c r="Q35" i="9" s="1"/>
  <c r="N34" i="9"/>
  <c r="Q34" i="9" s="1"/>
  <c r="N33" i="9"/>
  <c r="Q33" i="9" s="1"/>
  <c r="B49" i="7"/>
  <c r="G3" i="11" l="1"/>
  <c r="B36" i="2"/>
  <c r="B4" i="12"/>
  <c r="A22" i="6" l="1"/>
  <c r="F38" i="3"/>
  <c r="F39" i="3"/>
  <c r="F37" i="3" l="1"/>
  <c r="D38" i="3"/>
  <c r="D39" i="3"/>
  <c r="B9" i="12" l="1"/>
  <c r="C13" i="12"/>
  <c r="B8" i="12"/>
  <c r="B6" i="12"/>
  <c r="B4" i="11" s="1"/>
  <c r="B5" i="12"/>
  <c r="F3" i="11" s="1"/>
  <c r="A52" i="2" l="1"/>
  <c r="B2" i="11" l="1"/>
  <c r="D2" i="11" s="1"/>
  <c r="C2" i="11"/>
  <c r="E2" i="11" s="1"/>
  <c r="B3" i="11"/>
  <c r="C3" i="11"/>
  <c r="E3" i="11" s="1"/>
  <c r="C4" i="11"/>
  <c r="E4" i="11" s="1"/>
  <c r="B6" i="11"/>
  <c r="D6" i="11" s="1"/>
  <c r="C6" i="11"/>
  <c r="E6" i="11" s="1"/>
  <c r="B7" i="11"/>
  <c r="D7" i="11" s="1"/>
  <c r="C7" i="11"/>
  <c r="E7" i="11" s="1"/>
  <c r="E8" i="11" l="1"/>
  <c r="E9" i="11" s="1"/>
  <c r="D3" i="11"/>
  <c r="D4" i="11"/>
  <c r="D8" i="11" l="1"/>
  <c r="D9" i="11" s="1"/>
  <c r="B11" i="12" s="1"/>
  <c r="C11" i="12"/>
  <c r="AC35" i="3"/>
  <c r="P36" i="9" s="1"/>
  <c r="AC34" i="3"/>
  <c r="P35" i="9" s="1"/>
  <c r="AC33" i="3"/>
  <c r="P34" i="9" s="1"/>
  <c r="AC32" i="3"/>
  <c r="P33" i="9" s="1"/>
  <c r="AC31" i="3"/>
  <c r="P32" i="9" s="1"/>
  <c r="AB4" i="3"/>
  <c r="A53" i="2" l="1"/>
  <c r="AB31" i="3"/>
  <c r="O32" i="9" s="1"/>
  <c r="AB32" i="3"/>
  <c r="O33" i="9" s="1"/>
  <c r="AB33" i="3"/>
  <c r="O34" i="9" s="1"/>
  <c r="AB34" i="3"/>
  <c r="O35" i="9" s="1"/>
  <c r="AB35" i="3"/>
  <c r="O36" i="9" s="1"/>
  <c r="A51" i="2" l="1"/>
  <c r="F21" i="2"/>
  <c r="F22" i="2"/>
  <c r="F23" i="2"/>
  <c r="F24" i="2"/>
  <c r="F25" i="2"/>
  <c r="F26" i="2"/>
  <c r="F27" i="2"/>
  <c r="F28" i="2"/>
  <c r="F29" i="2"/>
  <c r="F30" i="2"/>
  <c r="F31" i="2"/>
  <c r="F32" i="2"/>
  <c r="F33" i="2"/>
  <c r="F20" i="2"/>
  <c r="F19" i="2"/>
  <c r="D37" i="3" l="1"/>
  <c r="D36" i="3"/>
  <c r="F35" i="3" l="1"/>
  <c r="F36" i="3"/>
  <c r="B15" i="8" l="1"/>
  <c r="Y35" i="3" l="1"/>
  <c r="Y31" i="3"/>
  <c r="Y33" i="3"/>
  <c r="Y32" i="3"/>
  <c r="Y34" i="3"/>
  <c r="D18" i="9"/>
  <c r="D17" i="9"/>
  <c r="D16" i="9"/>
  <c r="B47" i="7" l="1"/>
  <c r="B44" i="7"/>
  <c r="B40" i="7"/>
  <c r="B39" i="7"/>
  <c r="B37" i="7"/>
  <c r="E10" i="2" s="1"/>
  <c r="E16" i="2" s="1"/>
  <c r="E18" i="7"/>
  <c r="E17" i="7"/>
  <c r="E13" i="7"/>
  <c r="E12" i="7"/>
  <c r="E11" i="7"/>
  <c r="E10" i="7"/>
  <c r="E9" i="7"/>
  <c r="B18" i="7"/>
  <c r="B17" i="7"/>
  <c r="B14" i="7"/>
  <c r="A45" i="2" s="1"/>
  <c r="B13" i="7"/>
  <c r="B12" i="7"/>
  <c r="B11" i="7"/>
  <c r="B10" i="7"/>
  <c r="B9" i="7"/>
  <c r="B7" i="7"/>
  <c r="B6" i="7"/>
  <c r="B5" i="7"/>
  <c r="AQ31" i="3"/>
  <c r="AQ32" i="3"/>
  <c r="F18" i="2"/>
  <c r="AE35" i="3"/>
  <c r="A10" i="2"/>
  <c r="F10" i="2"/>
  <c r="A11" i="2"/>
  <c r="F11" i="2"/>
  <c r="A12" i="2"/>
  <c r="F12" i="2"/>
  <c r="A13" i="2"/>
  <c r="F13" i="2"/>
  <c r="A14" i="2"/>
  <c r="F14" i="2"/>
  <c r="A15" i="2"/>
  <c r="F15" i="2"/>
  <c r="A16" i="2"/>
  <c r="F16" i="2"/>
  <c r="A17" i="2"/>
  <c r="F17" i="2"/>
  <c r="AE34" i="3"/>
  <c r="AE33" i="3"/>
  <c r="B2" i="2" l="1"/>
  <c r="B51" i="7"/>
  <c r="B10" i="2"/>
  <c r="V21" i="3"/>
  <c r="W9" i="3"/>
  <c r="B28" i="2"/>
  <c r="B30" i="2"/>
  <c r="B12" i="2"/>
  <c r="B29" i="2"/>
  <c r="B31" i="2"/>
  <c r="B11" i="2"/>
  <c r="B17" i="2"/>
  <c r="B18" i="2"/>
  <c r="B16" i="2"/>
  <c r="E26" i="2"/>
  <c r="E32" i="2"/>
  <c r="E24" i="2"/>
  <c r="E29" i="2"/>
  <c r="E11" i="2"/>
  <c r="E27" i="2"/>
  <c r="E17" i="2"/>
  <c r="E28" i="2"/>
  <c r="E20" i="2"/>
  <c r="E23" i="2"/>
  <c r="E22" i="2"/>
  <c r="E31" i="2"/>
  <c r="E13" i="2"/>
  <c r="E12" i="2"/>
  <c r="E19" i="2"/>
  <c r="E18" i="2"/>
  <c r="E25" i="2"/>
  <c r="E30" i="2"/>
  <c r="E33" i="2"/>
  <c r="E15" i="2"/>
  <c r="E14" i="2"/>
  <c r="E21" i="2"/>
  <c r="B37" i="2"/>
  <c r="B38" i="2" s="1"/>
  <c r="A42" i="2"/>
  <c r="B33" i="2"/>
  <c r="B32" i="2"/>
  <c r="X31" i="3"/>
  <c r="X1" i="3"/>
  <c r="X32" i="3"/>
  <c r="X34" i="3"/>
  <c r="X35" i="3"/>
  <c r="X33" i="3"/>
  <c r="W21" i="3"/>
  <c r="W8" i="3"/>
  <c r="W24" i="3"/>
  <c r="W13" i="3"/>
  <c r="W14" i="3"/>
  <c r="W30" i="3"/>
  <c r="W15" i="3"/>
  <c r="W5" i="3"/>
  <c r="V9" i="3"/>
  <c r="V25" i="3"/>
  <c r="V26" i="3"/>
  <c r="V15" i="3"/>
  <c r="V8" i="3"/>
  <c r="V24" i="3"/>
  <c r="V23" i="3"/>
  <c r="W20" i="3"/>
  <c r="W27" i="3"/>
  <c r="V20" i="3"/>
  <c r="W12" i="3"/>
  <c r="W28" i="3"/>
  <c r="W17" i="3"/>
  <c r="W29" i="3"/>
  <c r="W18" i="3"/>
  <c r="W33" i="3"/>
  <c r="W19" i="3"/>
  <c r="W32" i="3"/>
  <c r="V13" i="3"/>
  <c r="V29" i="3"/>
  <c r="V22" i="3"/>
  <c r="V19" i="3"/>
  <c r="V12" i="3"/>
  <c r="V28" i="3"/>
  <c r="V16" i="3"/>
  <c r="W31" i="3"/>
  <c r="W11" i="3"/>
  <c r="V14" i="3"/>
  <c r="V27" i="3"/>
  <c r="W16" i="3"/>
  <c r="W35" i="3"/>
  <c r="W6" i="3"/>
  <c r="W22" i="3"/>
  <c r="W7" i="3"/>
  <c r="W23" i="3"/>
  <c r="W34" i="3"/>
  <c r="V17" i="3"/>
  <c r="V10" i="3"/>
  <c r="V7" i="3"/>
  <c r="V6" i="3"/>
  <c r="W25" i="3"/>
  <c r="W10" i="3"/>
  <c r="W26" i="3"/>
  <c r="V5" i="3"/>
  <c r="V11" i="3"/>
  <c r="V18" i="3"/>
  <c r="V30" i="3"/>
  <c r="B25" i="2"/>
  <c r="B26" i="2"/>
  <c r="B27" i="2"/>
  <c r="B23" i="2"/>
  <c r="B24" i="2"/>
  <c r="B22" i="2"/>
  <c r="B13" i="2"/>
  <c r="B19" i="2"/>
  <c r="B14" i="2"/>
  <c r="B20" i="2"/>
  <c r="B15" i="2"/>
  <c r="B21" i="2"/>
  <c r="B63" i="2"/>
  <c r="AD6" i="3"/>
  <c r="AD10" i="3"/>
  <c r="AD14" i="3"/>
  <c r="AD18" i="3"/>
  <c r="AD22" i="3"/>
  <c r="AD26" i="3"/>
  <c r="AD30" i="3"/>
  <c r="AD34" i="3"/>
  <c r="AD7" i="3"/>
  <c r="AD11" i="3"/>
  <c r="AD15" i="3"/>
  <c r="AD19" i="3"/>
  <c r="AD23" i="3"/>
  <c r="AD27" i="3"/>
  <c r="AD31" i="3"/>
  <c r="AD35" i="3"/>
  <c r="AD8" i="3"/>
  <c r="AD12" i="3"/>
  <c r="AD16" i="3"/>
  <c r="AD20" i="3"/>
  <c r="AD24" i="3"/>
  <c r="AD28" i="3"/>
  <c r="AD32" i="3"/>
  <c r="AD5" i="3"/>
  <c r="AD9" i="3"/>
  <c r="AD13" i="3"/>
  <c r="AD17" i="3"/>
  <c r="AD21" i="3"/>
  <c r="AD25" i="3"/>
  <c r="AD29" i="3"/>
  <c r="AD33" i="3"/>
  <c r="AD4" i="3"/>
  <c r="A46" i="2"/>
  <c r="C19" i="9"/>
  <c r="A49" i="2"/>
  <c r="D48" i="3"/>
  <c r="D47" i="3"/>
  <c r="D45" i="3"/>
  <c r="B61" i="2"/>
  <c r="B19" i="9"/>
  <c r="D43" i="3"/>
  <c r="D46" i="3"/>
  <c r="B60" i="2" s="1"/>
  <c r="D44" i="3"/>
  <c r="G25" i="9"/>
  <c r="C2" i="2" l="1"/>
  <c r="B3" i="2" s="1"/>
  <c r="C15" i="2" s="1"/>
  <c r="X28" i="3"/>
  <c r="X21" i="3"/>
  <c r="AA21" i="3" s="1"/>
  <c r="N24" i="9" s="1"/>
  <c r="X13" i="3"/>
  <c r="AA13" i="3" s="1"/>
  <c r="X18" i="3"/>
  <c r="AA18" i="3" s="1"/>
  <c r="N19" i="9" s="1"/>
  <c r="X6" i="3"/>
  <c r="G11" i="2" s="1"/>
  <c r="X8" i="3"/>
  <c r="AA8" i="3" s="1"/>
  <c r="N6" i="9" s="1"/>
  <c r="X12" i="3"/>
  <c r="AA12" i="3" s="1"/>
  <c r="X24" i="3"/>
  <c r="AA24" i="3" s="1"/>
  <c r="X5" i="3"/>
  <c r="AA5" i="3" s="1"/>
  <c r="N3" i="9" s="1"/>
  <c r="X9" i="3"/>
  <c r="AA9" i="3" s="1"/>
  <c r="N5" i="9" s="1"/>
  <c r="X11" i="3"/>
  <c r="X16" i="3"/>
  <c r="AA16" i="3" s="1"/>
  <c r="X22" i="3"/>
  <c r="AA22" i="3" s="1"/>
  <c r="X30" i="3"/>
  <c r="AA30" i="3" s="1"/>
  <c r="X7" i="3"/>
  <c r="AA7" i="3" s="1"/>
  <c r="N4" i="9" s="1"/>
  <c r="X29" i="3"/>
  <c r="AA29" i="3" s="1"/>
  <c r="X15" i="3"/>
  <c r="AA15" i="3" s="1"/>
  <c r="X20" i="3"/>
  <c r="AA20" i="3" s="1"/>
  <c r="N20" i="9" s="1"/>
  <c r="X10" i="3"/>
  <c r="AA10" i="3" s="1"/>
  <c r="X23" i="3"/>
  <c r="AA23" i="3" s="1"/>
  <c r="N22" i="9" s="1"/>
  <c r="X26" i="3"/>
  <c r="AA26" i="3" s="1"/>
  <c r="X14" i="3"/>
  <c r="AA14" i="3" s="1"/>
  <c r="X17" i="3"/>
  <c r="AA17" i="3" s="1"/>
  <c r="X27" i="3"/>
  <c r="AA27" i="3" s="1"/>
  <c r="X19" i="3"/>
  <c r="AA19" i="3" s="1"/>
  <c r="N21" i="9" s="1"/>
  <c r="X25" i="3"/>
  <c r="AA25" i="3" s="1"/>
  <c r="N26" i="9" s="1"/>
  <c r="Q26" i="9" s="1"/>
  <c r="A47" i="2"/>
  <c r="A41" i="2"/>
  <c r="A43" i="2"/>
  <c r="D19" i="9"/>
  <c r="A44" i="2" s="1"/>
  <c r="C10" i="2" l="1"/>
  <c r="D10" i="2" s="1"/>
  <c r="C12" i="2"/>
  <c r="D12" i="2" s="1"/>
  <c r="C19" i="2"/>
  <c r="D19" i="2" s="1"/>
  <c r="C16" i="2"/>
  <c r="D16" i="2" s="1"/>
  <c r="C32" i="2"/>
  <c r="D32" i="2" s="1"/>
  <c r="C26" i="2"/>
  <c r="D26" i="2" s="1"/>
  <c r="C13" i="2"/>
  <c r="D13" i="2" s="1"/>
  <c r="C29" i="2"/>
  <c r="D29" i="2" s="1"/>
  <c r="C23" i="2"/>
  <c r="D23" i="2" s="1"/>
  <c r="C20" i="2"/>
  <c r="D20" i="2" s="1"/>
  <c r="C14" i="2"/>
  <c r="D14" i="2" s="1"/>
  <c r="C30" i="2"/>
  <c r="D30" i="2" s="1"/>
  <c r="C17" i="2"/>
  <c r="D17" i="2" s="1"/>
  <c r="C33" i="2"/>
  <c r="D33" i="2" s="1"/>
  <c r="D15" i="2"/>
  <c r="C31" i="2"/>
  <c r="D31" i="2" s="1"/>
  <c r="C28" i="2"/>
  <c r="D28" i="2" s="1"/>
  <c r="C25" i="2"/>
  <c r="D25" i="2" s="1"/>
  <c r="C22" i="2"/>
  <c r="D22" i="2" s="1"/>
  <c r="C11" i="2"/>
  <c r="D11" i="2" s="1"/>
  <c r="C27" i="2"/>
  <c r="D27" i="2" s="1"/>
  <c r="C24" i="2"/>
  <c r="D24" i="2" s="1"/>
  <c r="C18" i="2"/>
  <c r="D18" i="2" s="1"/>
  <c r="C21" i="2"/>
  <c r="D21" i="2" s="1"/>
  <c r="AA6" i="3"/>
  <c r="AA11" i="3"/>
  <c r="N12" i="9" s="1"/>
  <c r="G16" i="2"/>
  <c r="N16" i="9"/>
  <c r="N14" i="9"/>
  <c r="N17" i="9"/>
  <c r="Q17" i="9" s="1"/>
  <c r="N13" i="9"/>
  <c r="Q13" i="9" s="1"/>
  <c r="N18" i="9"/>
  <c r="Q18" i="9" s="1"/>
  <c r="N27" i="9"/>
  <c r="Q27" i="9" s="1"/>
  <c r="N23" i="9"/>
  <c r="N28" i="9"/>
  <c r="Q28" i="9" s="1"/>
  <c r="N30" i="9"/>
  <c r="Q30" i="9" s="1"/>
  <c r="N25" i="9"/>
  <c r="Q25" i="9" s="1"/>
  <c r="N15" i="9"/>
  <c r="N31" i="9"/>
  <c r="Q31" i="9" s="1"/>
  <c r="AC8" i="3"/>
  <c r="P6" i="9" s="1"/>
  <c r="AE18" i="3"/>
  <c r="AC10" i="3"/>
  <c r="AB25" i="3"/>
  <c r="O26" i="9" s="1"/>
  <c r="AC14" i="3"/>
  <c r="P15" i="9" s="1"/>
  <c r="AB14" i="3"/>
  <c r="O15" i="9" s="1"/>
  <c r="AB10" i="3"/>
  <c r="AE10" i="3"/>
  <c r="AB15" i="3"/>
  <c r="O16" i="9" s="1"/>
  <c r="AB18" i="3"/>
  <c r="O19" i="9" s="1"/>
  <c r="AB7" i="3"/>
  <c r="O4" i="9" s="1"/>
  <c r="AC7" i="3"/>
  <c r="P4" i="9" s="1"/>
  <c r="AB12" i="3"/>
  <c r="O13" i="9" s="1"/>
  <c r="AC12" i="3"/>
  <c r="P13" i="9" s="1"/>
  <c r="AC24" i="3"/>
  <c r="P25" i="9" s="1"/>
  <c r="AB24" i="3"/>
  <c r="O25" i="9" s="1"/>
  <c r="AE24" i="3"/>
  <c r="AC15" i="3"/>
  <c r="P16" i="9" s="1"/>
  <c r="AC25" i="3"/>
  <c r="P26" i="9" s="1"/>
  <c r="AC18" i="3"/>
  <c r="P19" i="9" s="1"/>
  <c r="AC19" i="3"/>
  <c r="P21" i="9" s="1"/>
  <c r="AE19" i="3"/>
  <c r="AE23" i="3"/>
  <c r="AC23" i="3"/>
  <c r="P22" i="9" s="1"/>
  <c r="AA28" i="3"/>
  <c r="AB9" i="3"/>
  <c r="O5" i="9" s="1"/>
  <c r="AC9" i="3"/>
  <c r="P5" i="9" s="1"/>
  <c r="AE21" i="3"/>
  <c r="AC21" i="3"/>
  <c r="P24" i="9" s="1"/>
  <c r="AB21" i="3"/>
  <c r="O24" i="9" s="1"/>
  <c r="AC5" i="3"/>
  <c r="P3" i="9" s="1"/>
  <c r="AB5" i="3"/>
  <c r="O3" i="9" s="1"/>
  <c r="AC13" i="3"/>
  <c r="P14" i="9" s="1"/>
  <c r="AB13" i="3"/>
  <c r="O14" i="9" s="1"/>
  <c r="AE13" i="3"/>
  <c r="AE27" i="3"/>
  <c r="AC27" i="3"/>
  <c r="P28" i="9" s="1"/>
  <c r="AB27" i="3"/>
  <c r="O28" i="9" s="1"/>
  <c r="AC26" i="3"/>
  <c r="P27" i="9" s="1"/>
  <c r="AE26" i="3"/>
  <c r="AB26" i="3"/>
  <c r="O27" i="9" s="1"/>
  <c r="AE17" i="3"/>
  <c r="AB17" i="3"/>
  <c r="O18" i="9" s="1"/>
  <c r="AC17" i="3"/>
  <c r="P18" i="9" s="1"/>
  <c r="AC22" i="3"/>
  <c r="P23" i="9" s="1"/>
  <c r="AB22" i="3"/>
  <c r="O23" i="9" s="1"/>
  <c r="AE22" i="3"/>
  <c r="AE20" i="3"/>
  <c r="AB20" i="3"/>
  <c r="O20" i="9" s="1"/>
  <c r="AC20" i="3"/>
  <c r="P20" i="9" s="1"/>
  <c r="AB29" i="3"/>
  <c r="O30" i="9" s="1"/>
  <c r="AE29" i="3"/>
  <c r="AC29" i="3"/>
  <c r="P30" i="9" s="1"/>
  <c r="AB23" i="3"/>
  <c r="O22" i="9" s="1"/>
  <c r="AE8" i="3"/>
  <c r="AB16" i="3"/>
  <c r="O17" i="9" s="1"/>
  <c r="AB8" i="3"/>
  <c r="O6" i="9" s="1"/>
  <c r="AE25" i="3"/>
  <c r="AB19" i="3"/>
  <c r="O21" i="9" s="1"/>
  <c r="AC16" i="3"/>
  <c r="P17" i="9" s="1"/>
  <c r="AE30" i="3"/>
  <c r="AB30" i="3"/>
  <c r="O31" i="9" s="1"/>
  <c r="AC30" i="3"/>
  <c r="P31" i="9" s="1"/>
  <c r="AE16" i="3"/>
  <c r="AE14" i="3"/>
  <c r="AE15" i="3"/>
  <c r="G26" i="9"/>
  <c r="B45" i="7" s="1"/>
  <c r="Y5" i="3"/>
  <c r="AE5" i="3"/>
  <c r="AE12" i="3"/>
  <c r="AE9" i="3"/>
  <c r="AE7" i="3"/>
  <c r="AE6" i="3" l="1"/>
  <c r="AB6" i="3"/>
  <c r="AC6" i="3"/>
  <c r="AB11" i="3"/>
  <c r="O12" i="9" s="1"/>
  <c r="AC11" i="3"/>
  <c r="P12" i="9" s="1"/>
  <c r="AE11" i="3"/>
  <c r="N29" i="9"/>
  <c r="Q29" i="9" s="1"/>
  <c r="AC28" i="3"/>
  <c r="P29" i="9" s="1"/>
  <c r="AE28" i="3"/>
  <c r="AB28" i="3"/>
  <c r="O29" i="9" s="1"/>
  <c r="A50" i="2"/>
  <c r="Y6" i="3"/>
  <c r="Y7" i="3" s="1"/>
  <c r="Y8" i="3" s="1"/>
  <c r="B9" i="8"/>
  <c r="AI4" i="3" l="1"/>
  <c r="AG4" i="3"/>
  <c r="AH4" i="3"/>
  <c r="AJ4" i="3"/>
  <c r="Y9" i="3"/>
  <c r="Y10" i="3" l="1"/>
  <c r="Y11" i="3" s="1"/>
  <c r="Y12" i="3" l="1"/>
  <c r="Y13" i="3" l="1"/>
  <c r="Y14" i="3" l="1"/>
  <c r="Y15" i="3" s="1"/>
  <c r="Y16" i="3" s="1"/>
  <c r="Y17" i="3" s="1"/>
  <c r="G10" i="2"/>
  <c r="H10" i="2"/>
  <c r="Q3" i="9" s="1"/>
  <c r="G13" i="2"/>
  <c r="G33" i="2" l="1"/>
  <c r="H33" i="2"/>
  <c r="G32" i="2"/>
  <c r="H32" i="2"/>
  <c r="Y18" i="3"/>
  <c r="G28" i="2"/>
  <c r="H28" i="2"/>
  <c r="Q23" i="9" s="1"/>
  <c r="G26" i="2"/>
  <c r="H26" i="2"/>
  <c r="Q21" i="9" s="1"/>
  <c r="H25" i="2"/>
  <c r="Q20" i="9" s="1"/>
  <c r="G25" i="2"/>
  <c r="G24" i="2"/>
  <c r="H24" i="2"/>
  <c r="Q19" i="9" s="1"/>
  <c r="H23" i="2"/>
  <c r="G23" i="2"/>
  <c r="G31" i="2"/>
  <c r="H31" i="2"/>
  <c r="H30" i="2"/>
  <c r="G30" i="2"/>
  <c r="G29" i="2"/>
  <c r="H29" i="2"/>
  <c r="Q24" i="9" s="1"/>
  <c r="H27" i="2"/>
  <c r="Q22" i="9" s="1"/>
  <c r="G27" i="2"/>
  <c r="H22" i="2"/>
  <c r="G22" i="2"/>
  <c r="H21" i="2"/>
  <c r="Q16" i="9" s="1"/>
  <c r="G21" i="2"/>
  <c r="H20" i="2"/>
  <c r="Q15" i="9" s="1"/>
  <c r="G20" i="2"/>
  <c r="H19" i="2"/>
  <c r="Q14" i="9" s="1"/>
  <c r="G19" i="2"/>
  <c r="G18" i="2"/>
  <c r="H18" i="2"/>
  <c r="H16" i="2"/>
  <c r="H14" i="2"/>
  <c r="Q6" i="9" s="1"/>
  <c r="G14" i="2"/>
  <c r="H17" i="2"/>
  <c r="Q12" i="9" s="1"/>
  <c r="G17" i="2"/>
  <c r="H15" i="2"/>
  <c r="Q7" i="9" s="1"/>
  <c r="G15" i="2"/>
  <c r="H13" i="2"/>
  <c r="Q5" i="9" s="1"/>
  <c r="H11" i="2"/>
  <c r="Q4" i="9" s="1"/>
  <c r="H12" i="2"/>
  <c r="G12" i="2"/>
  <c r="Y19" i="3" l="1"/>
  <c r="Y20" i="3" s="1"/>
  <c r="C7" i="2"/>
  <c r="B7" i="2"/>
  <c r="A48" i="2" s="1"/>
  <c r="A55" i="2" l="1"/>
  <c r="A54" i="2"/>
  <c r="A56" i="2" s="1"/>
  <c r="A57" i="2" s="1"/>
  <c r="Y21" i="3"/>
  <c r="Y22" i="3" s="1"/>
  <c r="B4" i="8"/>
  <c r="B30" i="9"/>
  <c r="B57" i="2" l="1"/>
  <c r="Y23" i="3"/>
  <c r="Y30" i="3"/>
  <c r="B2" i="8"/>
  <c r="AG10" i="3"/>
  <c r="Y24" i="3" l="1"/>
  <c r="AG15" i="3"/>
  <c r="AG30" i="3"/>
  <c r="AG23" i="3"/>
  <c r="AG14" i="3"/>
  <c r="AG28" i="3"/>
  <c r="AG21" i="3"/>
  <c r="AG31" i="3"/>
  <c r="AF31" i="3" s="1"/>
  <c r="AG19" i="3"/>
  <c r="AG24" i="3"/>
  <c r="AG33" i="3"/>
  <c r="AG18" i="3"/>
  <c r="AG34" i="3"/>
  <c r="AG27" i="3"/>
  <c r="AG16" i="3"/>
  <c r="AG25" i="3"/>
  <c r="AG22" i="3"/>
  <c r="AG20" i="3"/>
  <c r="AG29" i="3"/>
  <c r="AG26" i="3"/>
  <c r="AG35" i="3"/>
  <c r="AG17" i="3"/>
  <c r="AG32" i="3"/>
  <c r="AF32" i="3" s="1"/>
  <c r="AG13" i="3"/>
  <c r="AH13" i="3" s="1"/>
  <c r="AG12" i="3"/>
  <c r="AG5" i="3"/>
  <c r="AG9" i="3"/>
  <c r="AG11" i="3"/>
  <c r="AG8" i="3"/>
  <c r="AG7" i="3"/>
  <c r="AG6" i="3"/>
  <c r="B28" i="9"/>
  <c r="Y25" i="3" l="1"/>
  <c r="AH35" i="3"/>
  <c r="AJ35" i="3"/>
  <c r="AI35" i="3"/>
  <c r="AH34" i="3"/>
  <c r="AJ34" i="3"/>
  <c r="AI34" i="3"/>
  <c r="AH19" i="3"/>
  <c r="AJ19" i="3"/>
  <c r="AI19" i="3"/>
  <c r="AH26" i="3"/>
  <c r="AJ26" i="3"/>
  <c r="AI26" i="3"/>
  <c r="AH18" i="3"/>
  <c r="AJ18" i="3"/>
  <c r="AI18" i="3"/>
  <c r="AH31" i="3"/>
  <c r="AJ31" i="3"/>
  <c r="AI31" i="3"/>
  <c r="AH23" i="3"/>
  <c r="AJ23" i="3"/>
  <c r="AI23" i="3"/>
  <c r="AH32" i="3"/>
  <c r="AI32" i="3"/>
  <c r="AJ32" i="3"/>
  <c r="AH29" i="3"/>
  <c r="AI29" i="3"/>
  <c r="AJ29" i="3"/>
  <c r="AH16" i="3"/>
  <c r="AI16" i="3"/>
  <c r="AJ16" i="3"/>
  <c r="AH33" i="3"/>
  <c r="AI33" i="3"/>
  <c r="AJ33" i="3"/>
  <c r="AH21" i="3"/>
  <c r="AI21" i="3"/>
  <c r="AJ21" i="3"/>
  <c r="AH30" i="3"/>
  <c r="AJ30" i="3"/>
  <c r="AI30" i="3"/>
  <c r="AH22" i="3"/>
  <c r="AJ22" i="3"/>
  <c r="AI22" i="3"/>
  <c r="AI14" i="3"/>
  <c r="AH14" i="3"/>
  <c r="AJ14" i="3"/>
  <c r="AH25" i="3"/>
  <c r="AI25" i="3"/>
  <c r="AJ25" i="3"/>
  <c r="AH17" i="3"/>
  <c r="AI17" i="3"/>
  <c r="AJ17" i="3"/>
  <c r="AH20" i="3"/>
  <c r="AI20" i="3"/>
  <c r="AJ20" i="3"/>
  <c r="AH27" i="3"/>
  <c r="AJ27" i="3"/>
  <c r="AI27" i="3"/>
  <c r="AH24" i="3"/>
  <c r="AI24" i="3"/>
  <c r="AJ24" i="3"/>
  <c r="AH28" i="3"/>
  <c r="AI28" i="3"/>
  <c r="AJ28" i="3"/>
  <c r="AI15" i="3"/>
  <c r="AH15" i="3"/>
  <c r="AJ15" i="3"/>
  <c r="AK5" i="3"/>
  <c r="AH5" i="3"/>
  <c r="AI5" i="3"/>
  <c r="AF5" i="3"/>
  <c r="AF6" i="3" s="1"/>
  <c r="AJ5" i="3"/>
  <c r="AH12" i="3"/>
  <c r="AI12" i="3"/>
  <c r="AJ12" i="3"/>
  <c r="AK12" i="3"/>
  <c r="AK24" i="3"/>
  <c r="AJ9" i="3"/>
  <c r="AI9" i="3"/>
  <c r="AK9" i="3"/>
  <c r="AH9" i="3"/>
  <c r="AJ13" i="3"/>
  <c r="AK13" i="3"/>
  <c r="AI13" i="3"/>
  <c r="AF27" i="3"/>
  <c r="AK27" i="3"/>
  <c r="A14" i="6"/>
  <c r="C28" i="9"/>
  <c r="AK33" i="3"/>
  <c r="AF33" i="3"/>
  <c r="AI6" i="3"/>
  <c r="AH6" i="3"/>
  <c r="AJ6" i="3"/>
  <c r="AK6" i="3"/>
  <c r="AK26" i="3"/>
  <c r="AF26" i="3"/>
  <c r="AJ7" i="3"/>
  <c r="AI7" i="3"/>
  <c r="AK7" i="3"/>
  <c r="AH7" i="3"/>
  <c r="AK21" i="3"/>
  <c r="AK18" i="3"/>
  <c r="AF35" i="3"/>
  <c r="AK35" i="3"/>
  <c r="AI11" i="3"/>
  <c r="AK11" i="3"/>
  <c r="AJ11" i="3"/>
  <c r="AH11" i="3"/>
  <c r="AK23" i="3"/>
  <c r="AK14" i="3"/>
  <c r="AF34" i="3"/>
  <c r="AK34" i="3"/>
  <c r="AH8" i="3"/>
  <c r="AK8" i="3"/>
  <c r="AI8" i="3"/>
  <c r="AJ8" i="3"/>
  <c r="AK22" i="3"/>
  <c r="AK29" i="3"/>
  <c r="AF29" i="3"/>
  <c r="AK17" i="3"/>
  <c r="AK25" i="3"/>
  <c r="AH10" i="3"/>
  <c r="AJ10" i="3"/>
  <c r="AK10" i="3"/>
  <c r="AI10" i="3"/>
  <c r="AK19" i="3"/>
  <c r="AK15" i="3"/>
  <c r="AK28" i="3"/>
  <c r="AK30" i="3"/>
  <c r="AF30" i="3"/>
  <c r="AK16" i="3"/>
  <c r="AK20" i="3"/>
  <c r="AF20" i="3"/>
  <c r="Y26" i="3" l="1"/>
  <c r="Y27" i="3" s="1"/>
  <c r="Y28" i="3" s="1"/>
  <c r="AF7" i="3"/>
  <c r="Y29" i="3" l="1"/>
  <c r="AT20" i="3" s="1"/>
  <c r="AF8" i="3"/>
  <c r="AT5" i="3" l="1"/>
  <c r="AT4" i="3"/>
  <c r="AW8" i="3"/>
  <c r="AW6" i="3"/>
  <c r="AV5" i="3"/>
  <c r="AT22" i="3"/>
  <c r="AW5" i="3"/>
  <c r="AW4" i="3"/>
  <c r="AW15" i="3"/>
  <c r="AU7" i="3"/>
  <c r="AU25" i="3"/>
  <c r="AW7" i="3"/>
  <c r="AV30" i="3"/>
  <c r="AU34" i="3"/>
  <c r="AV17" i="3"/>
  <c r="AV22" i="3"/>
  <c r="AU13" i="3"/>
  <c r="AV20" i="3"/>
  <c r="AV19" i="3"/>
  <c r="AW19" i="3"/>
  <c r="AV15" i="3"/>
  <c r="AV7" i="3"/>
  <c r="AT14" i="3"/>
  <c r="AV34" i="3"/>
  <c r="AW10" i="3"/>
  <c r="AU11" i="3"/>
  <c r="AV28" i="3"/>
  <c r="AU15" i="3"/>
  <c r="AV10" i="3"/>
  <c r="AT15" i="3"/>
  <c r="AT29" i="3"/>
  <c r="AU8" i="3"/>
  <c r="AV13" i="3"/>
  <c r="AT19" i="3"/>
  <c r="AW9" i="3"/>
  <c r="AV9" i="3"/>
  <c r="AU17" i="3"/>
  <c r="AW35" i="3"/>
  <c r="AU33" i="3"/>
  <c r="AV35" i="3"/>
  <c r="AV21" i="3"/>
  <c r="AT13" i="3"/>
  <c r="AV33" i="3"/>
  <c r="AT23" i="3"/>
  <c r="AV29" i="3"/>
  <c r="AT17" i="3"/>
  <c r="AW29" i="3"/>
  <c r="AU26" i="3"/>
  <c r="AU27" i="3"/>
  <c r="AT28" i="3"/>
  <c r="AV23" i="3"/>
  <c r="AU23" i="3"/>
  <c r="AU20" i="3"/>
  <c r="AV25" i="3"/>
  <c r="AV24" i="3"/>
  <c r="AT34" i="3"/>
  <c r="AT35" i="3"/>
  <c r="AU18" i="3"/>
  <c r="AT27" i="3"/>
  <c r="AT8" i="3"/>
  <c r="AU22" i="3"/>
  <c r="AW22" i="3"/>
  <c r="AV8" i="3"/>
  <c r="AW12" i="3"/>
  <c r="AW18" i="3"/>
  <c r="AT10" i="3"/>
  <c r="AW26" i="3"/>
  <c r="AU9" i="3"/>
  <c r="AU19" i="3"/>
  <c r="AT26" i="3"/>
  <c r="AV4" i="3"/>
  <c r="AT7" i="3"/>
  <c r="AW16" i="3"/>
  <c r="AT25" i="3"/>
  <c r="AW34" i="3"/>
  <c r="AW14" i="3"/>
  <c r="AW23" i="3"/>
  <c r="AU5" i="3"/>
  <c r="AT6" i="3"/>
  <c r="AT11" i="3"/>
  <c r="AW30" i="3"/>
  <c r="AV27" i="3"/>
  <c r="AU16" i="3"/>
  <c r="AW21" i="3"/>
  <c r="AT33" i="3"/>
  <c r="AV16" i="3"/>
  <c r="AT18" i="3"/>
  <c r="AU24" i="3"/>
  <c r="AW25" i="3"/>
  <c r="AU14" i="3"/>
  <c r="AW11" i="3"/>
  <c r="AV11" i="3"/>
  <c r="AU30" i="3"/>
  <c r="AU29" i="3"/>
  <c r="AT21" i="3"/>
  <c r="AT16" i="3"/>
  <c r="AT24" i="3"/>
  <c r="AU35" i="3"/>
  <c r="AU4" i="3"/>
  <c r="AV26" i="3"/>
  <c r="AV14" i="3"/>
  <c r="AW20" i="3"/>
  <c r="AT30" i="3"/>
  <c r="AU21" i="3"/>
  <c r="AU12" i="3"/>
  <c r="AW13" i="3"/>
  <c r="AV6" i="3"/>
  <c r="AW28" i="3"/>
  <c r="AW24" i="3"/>
  <c r="AW27" i="3"/>
  <c r="AW17" i="3"/>
  <c r="AW33" i="3"/>
  <c r="AU6" i="3"/>
  <c r="AV12" i="3"/>
  <c r="AU10" i="3"/>
  <c r="AT12" i="3"/>
  <c r="AU28" i="3"/>
  <c r="AV18" i="3"/>
  <c r="AT9" i="3"/>
  <c r="AF9" i="3"/>
  <c r="AF10" i="3" l="1"/>
  <c r="AF11" i="3" s="1"/>
  <c r="AF12" i="3" l="1"/>
  <c r="AF13" i="3" l="1"/>
  <c r="AF14" i="3" l="1"/>
  <c r="AF15" i="3" s="1"/>
  <c r="AF16" i="3" l="1"/>
  <c r="AF17" i="3" l="1"/>
  <c r="AF18" i="3" l="1"/>
  <c r="AF19" i="3" s="1"/>
  <c r="AF21" i="3"/>
  <c r="AF22" i="3" l="1"/>
  <c r="AF24" i="3"/>
  <c r="AF23" i="3"/>
  <c r="AF25" i="3" l="1"/>
  <c r="AF28" i="3"/>
  <c r="AO18" i="3" l="1"/>
  <c r="AN18" i="3"/>
  <c r="AN4" i="3"/>
  <c r="B35" i="9" s="1"/>
  <c r="AP13" i="3"/>
  <c r="AN35" i="3"/>
  <c r="AN25" i="3"/>
  <c r="AO23" i="3"/>
  <c r="AP20" i="3"/>
  <c r="AN20" i="3"/>
  <c r="AN5" i="3"/>
  <c r="B36" i="9" s="1"/>
  <c r="AM22" i="3"/>
  <c r="AQ22" i="3" s="1"/>
  <c r="AN8" i="3"/>
  <c r="B39" i="9" s="1"/>
  <c r="AM16" i="3"/>
  <c r="AQ16" i="3" s="1"/>
  <c r="AN34" i="3"/>
  <c r="AN6" i="3"/>
  <c r="S3" i="2" s="1"/>
  <c r="T4" i="2" s="1"/>
  <c r="S4" i="2" s="1"/>
  <c r="AR6" i="3" s="1"/>
  <c r="F37" i="9" s="1"/>
  <c r="AO28" i="3"/>
  <c r="AO26" i="3"/>
  <c r="AO12" i="3"/>
  <c r="AN14" i="3"/>
  <c r="AO21" i="3"/>
  <c r="AO15" i="3"/>
  <c r="AN21" i="3"/>
  <c r="AN26" i="3"/>
  <c r="AO4" i="3"/>
  <c r="C35" i="9" s="1"/>
  <c r="AN23" i="3"/>
  <c r="AM12" i="3"/>
  <c r="AQ12" i="3" s="1"/>
  <c r="AO35" i="3"/>
  <c r="AM33" i="3"/>
  <c r="AQ33" i="3" s="1"/>
  <c r="AO11" i="3"/>
  <c r="AP24" i="3"/>
  <c r="AM17" i="3"/>
  <c r="AQ17" i="3" s="1"/>
  <c r="AM35" i="3"/>
  <c r="AQ35" i="3" s="1"/>
  <c r="AP27" i="3"/>
  <c r="AP19" i="3"/>
  <c r="AM14" i="3"/>
  <c r="AQ14" i="3" s="1"/>
  <c r="AM34" i="3"/>
  <c r="AQ34" i="3" s="1"/>
  <c r="AP18" i="3"/>
  <c r="AP21" i="3"/>
  <c r="AP4" i="3"/>
  <c r="D35" i="9" s="1"/>
  <c r="AP29" i="3"/>
  <c r="AP14" i="3"/>
  <c r="AP6" i="3"/>
  <c r="D37" i="9" s="1"/>
  <c r="AO19" i="3"/>
  <c r="AO22" i="3"/>
  <c r="AN22" i="3"/>
  <c r="AP16" i="3"/>
  <c r="AP25" i="3"/>
  <c r="AM4" i="3"/>
  <c r="AS4" i="3" s="1"/>
  <c r="AN9" i="3"/>
  <c r="AE3" i="2" s="1"/>
  <c r="AF4" i="2" s="1"/>
  <c r="AE4" i="2" s="1"/>
  <c r="AR9" i="3" s="1"/>
  <c r="F40" i="9" s="1"/>
  <c r="AM26" i="3"/>
  <c r="AQ26" i="3" s="1"/>
  <c r="AP11" i="3"/>
  <c r="AP7" i="3"/>
  <c r="D38" i="9" s="1"/>
  <c r="AO30" i="3"/>
  <c r="AO16" i="3"/>
  <c r="AP15" i="3"/>
  <c r="AM15" i="3"/>
  <c r="AQ15" i="3" s="1"/>
  <c r="AN27" i="3"/>
  <c r="AN24" i="3"/>
  <c r="AM28" i="3"/>
  <c r="AQ28" i="3" s="1"/>
  <c r="AM5" i="3"/>
  <c r="AS5" i="3" s="1"/>
  <c r="AO10" i="3"/>
  <c r="AN19" i="3"/>
  <c r="AM10" i="3"/>
  <c r="AQ10" i="3" s="1"/>
  <c r="AM24" i="3"/>
  <c r="AQ24" i="3" s="1"/>
  <c r="AP17" i="3"/>
  <c r="AN16" i="3"/>
  <c r="AP9" i="3"/>
  <c r="D40" i="9" s="1"/>
  <c r="AN11" i="3"/>
  <c r="AP26" i="3"/>
  <c r="AN15" i="3"/>
  <c r="AM13" i="3"/>
  <c r="AQ13" i="3" s="1"/>
  <c r="AN33" i="3"/>
  <c r="AM21" i="3"/>
  <c r="AQ21" i="3" s="1"/>
  <c r="AO34" i="3"/>
  <c r="AM29" i="3"/>
  <c r="AQ29" i="3" s="1"/>
  <c r="AO20" i="3"/>
  <c r="AO29" i="3"/>
  <c r="AP30" i="3"/>
  <c r="AN28" i="3"/>
  <c r="AN17" i="3"/>
  <c r="AM9" i="3"/>
  <c r="AS9" i="3" s="1"/>
  <c r="AM20" i="3"/>
  <c r="AQ20" i="3" s="1"/>
  <c r="AN29" i="3"/>
  <c r="AN10" i="3"/>
  <c r="AM23" i="3"/>
  <c r="AQ23" i="3" s="1"/>
  <c r="AO17" i="3"/>
  <c r="AM11" i="3"/>
  <c r="AQ11" i="3" s="1"/>
  <c r="AP35" i="3"/>
  <c r="AP34" i="3"/>
  <c r="AN7" i="3"/>
  <c r="B38" i="9" s="1"/>
  <c r="AP33" i="3"/>
  <c r="AM7" i="3"/>
  <c r="AS7" i="3" s="1"/>
  <c r="AN30" i="3"/>
  <c r="AN13" i="3"/>
  <c r="AP12" i="3"/>
  <c r="AP8" i="3"/>
  <c r="D39" i="9" s="1"/>
  <c r="AN12" i="3"/>
  <c r="AO25" i="3"/>
  <c r="AM19" i="3"/>
  <c r="AQ19" i="3" s="1"/>
  <c r="AP10" i="3"/>
  <c r="AO14" i="3"/>
  <c r="AP23" i="3"/>
  <c r="AO6" i="3"/>
  <c r="C37" i="9" s="1"/>
  <c r="AM18" i="3"/>
  <c r="AQ18" i="3" s="1"/>
  <c r="AO9" i="3"/>
  <c r="C40" i="9" s="1"/>
  <c r="AO8" i="3"/>
  <c r="C39" i="9" s="1"/>
  <c r="AO24" i="3"/>
  <c r="AM25" i="3"/>
  <c r="AQ25" i="3" s="1"/>
  <c r="AO33" i="3"/>
  <c r="AM6" i="3"/>
  <c r="AS6" i="3" s="1"/>
  <c r="AO13" i="3"/>
  <c r="AO7" i="3"/>
  <c r="C38" i="9" s="1"/>
  <c r="AP5" i="3"/>
  <c r="D36" i="9" s="1"/>
  <c r="AM8" i="3"/>
  <c r="AS8" i="3" s="1"/>
  <c r="AP28" i="3"/>
  <c r="AO5" i="3"/>
  <c r="C36" i="9" s="1"/>
  <c r="AP22" i="3"/>
  <c r="AM30" i="3"/>
  <c r="AQ30" i="3" s="1"/>
  <c r="AO27" i="3"/>
  <c r="AM27" i="3"/>
  <c r="AQ27" i="3" s="1"/>
  <c r="B40" i="9"/>
  <c r="B37" i="9" l="1"/>
  <c r="K3" i="2"/>
  <c r="L4" i="2" s="1"/>
  <c r="K4" i="2" s="1"/>
  <c r="AR4" i="3" s="1"/>
  <c r="F35" i="9" s="1"/>
  <c r="A35" i="9"/>
  <c r="A36" i="9"/>
  <c r="AQ5" i="3"/>
  <c r="E36" i="9" s="1"/>
  <c r="O3" i="2"/>
  <c r="P4" i="2" s="1"/>
  <c r="O4" i="2" s="1"/>
  <c r="AR5" i="3" s="1"/>
  <c r="F36" i="9" s="1"/>
  <c r="AQ4" i="3"/>
  <c r="E35" i="9" s="1"/>
  <c r="AA3" i="2"/>
  <c r="AB4" i="2" s="1"/>
  <c r="AA4" i="2" s="1"/>
  <c r="AR8" i="3" s="1"/>
  <c r="F39" i="9" s="1"/>
  <c r="AQ9" i="3"/>
  <c r="E40" i="9" s="1"/>
  <c r="A38" i="9"/>
  <c r="A40" i="9"/>
  <c r="A37" i="9"/>
  <c r="AQ7" i="3"/>
  <c r="E38" i="9" s="1"/>
  <c r="W3" i="2"/>
  <c r="X4" i="2" s="1"/>
  <c r="W4" i="2" s="1"/>
  <c r="AR7" i="3" s="1"/>
  <c r="F38" i="9" s="1"/>
  <c r="AQ6" i="3"/>
  <c r="E37" i="9" s="1"/>
  <c r="A39" i="9"/>
  <c r="AQ8" i="3"/>
  <c r="E39" i="9" s="1"/>
  <c r="G32" i="3" l="1"/>
  <c r="B11" i="8" s="1"/>
</calcChain>
</file>

<file path=xl/sharedStrings.xml><?xml version="1.0" encoding="utf-8"?>
<sst xmlns="http://schemas.openxmlformats.org/spreadsheetml/2006/main" count="1145" uniqueCount="740">
  <si>
    <t>Prepared by:</t>
  </si>
  <si>
    <t>Broker Name:</t>
  </si>
  <si>
    <t>Second Applicant</t>
  </si>
  <si>
    <t>First Applicant</t>
  </si>
  <si>
    <t>Mr</t>
  </si>
  <si>
    <t>Mrs</t>
  </si>
  <si>
    <t>Miss</t>
  </si>
  <si>
    <t>Title</t>
  </si>
  <si>
    <t>Dr</t>
  </si>
  <si>
    <t>Forename</t>
  </si>
  <si>
    <t>Surname</t>
  </si>
  <si>
    <t>Regular Bonus pa</t>
  </si>
  <si>
    <t>Overtime pa</t>
  </si>
  <si>
    <t>Allowed Income</t>
  </si>
  <si>
    <t>Income</t>
  </si>
  <si>
    <t>Applicants:</t>
  </si>
  <si>
    <t>Property Details:</t>
  </si>
  <si>
    <t>Income Details:</t>
  </si>
  <si>
    <t>Value:</t>
  </si>
  <si>
    <t>LTV</t>
  </si>
  <si>
    <t>Max Lending</t>
  </si>
  <si>
    <t>Mortgage Details:</t>
  </si>
  <si>
    <t>Mortgage Type</t>
  </si>
  <si>
    <t>Amount Requested</t>
  </si>
  <si>
    <t>Product</t>
  </si>
  <si>
    <t>Rate</t>
  </si>
  <si>
    <t>Requested Term/years</t>
  </si>
  <si>
    <t>Interest Rate</t>
  </si>
  <si>
    <t>Max LTV</t>
  </si>
  <si>
    <t>Referal Metrics</t>
  </si>
  <si>
    <t>Approval Checks</t>
  </si>
  <si>
    <t>Decline Occurances</t>
  </si>
  <si>
    <t>Refer Occurances</t>
  </si>
  <si>
    <t>Max Loan Calculator</t>
  </si>
  <si>
    <t>By Product Type</t>
  </si>
  <si>
    <t>Max Loan Available</t>
  </si>
  <si>
    <t>Max AIP Available</t>
  </si>
  <si>
    <t>AIP</t>
  </si>
  <si>
    <t>Max Term</t>
  </si>
  <si>
    <t>LTV Analysis</t>
  </si>
  <si>
    <t>Product LTV</t>
  </si>
  <si>
    <t>Max Lending LTV</t>
  </si>
  <si>
    <t>Overall Max LTV</t>
  </si>
  <si>
    <t>Other Allowed Income</t>
  </si>
  <si>
    <t>AIP Indicator:</t>
  </si>
  <si>
    <t>1st Applicant</t>
  </si>
  <si>
    <t>2nd Applicant</t>
  </si>
  <si>
    <t>Gsy Stress Rate</t>
  </si>
  <si>
    <t>Jsy Stress Rate</t>
  </si>
  <si>
    <t>Stress Rate over SVR</t>
  </si>
  <si>
    <t>Jsy</t>
  </si>
  <si>
    <t>Yes</t>
  </si>
  <si>
    <t>No</t>
  </si>
  <si>
    <t>Product Fee</t>
  </si>
  <si>
    <t>Product List</t>
  </si>
  <si>
    <t>Max Referal Age</t>
  </si>
  <si>
    <t>Max Joint Age</t>
  </si>
  <si>
    <t>Applicant Age for Calculatons (factoring Self Employment)</t>
  </si>
  <si>
    <t>Applicant 1</t>
  </si>
  <si>
    <t>Applicant 2</t>
  </si>
  <si>
    <t>Refer Age Employed</t>
  </si>
  <si>
    <t>Refer Age Self Employed</t>
  </si>
  <si>
    <t>in favour of:-</t>
  </si>
  <si>
    <t>Skipton International has granted Approval in Principle for a mortgage of up to:-</t>
  </si>
  <si>
    <t>Mortgage Certificate</t>
  </si>
  <si>
    <t xml:space="preserve">This Certificate is valid until </t>
  </si>
  <si>
    <t>The document does not constitute an offer of a mortgage. Criteria may be changed at any time by Skipton International Limited which may affect the amount that ultimately may be offered.
A full application with supporting documents and credit search will need to be considered by Skipton International Limited to determine any mortgage offer.
Skipton International Limited is not under any obligation to offer any mortgage to you, shall have no liability, nor has entered into any obligation, as a result of this certificate.
Minimum Age 18 years. All mortgages are subject to status, valuation and and satisfactory title. Skipton International Limited requires a first charge on the property.
YOUR HOME MAY BE REPOSSESSED IF YOU DO NOT KEEP UP REPAYMENTS ON YOUR MORTGAGE</t>
  </si>
  <si>
    <t>Buy to Let</t>
  </si>
  <si>
    <t>Min Income</t>
  </si>
  <si>
    <t>BTL</t>
  </si>
  <si>
    <t>Residential</t>
  </si>
  <si>
    <t>Standard Variable Rate</t>
  </si>
  <si>
    <t>Minimum Mortgage Value</t>
  </si>
  <si>
    <t>Residential Loan Size</t>
  </si>
  <si>
    <t>BTL Loan Size</t>
  </si>
  <si>
    <t>Term</t>
  </si>
  <si>
    <t>Initial Affordability</t>
  </si>
  <si>
    <t>Housing Allowance</t>
  </si>
  <si>
    <t>Age (years)</t>
  </si>
  <si>
    <t>APR</t>
  </si>
  <si>
    <t>Annual Salary/Pension</t>
  </si>
  <si>
    <t>Min Loan Size</t>
  </si>
  <si>
    <t>Max Affordability</t>
  </si>
  <si>
    <t>Self Employed Income</t>
  </si>
  <si>
    <t>Employed/Pensioner?</t>
  </si>
  <si>
    <t>Minimum Income</t>
  </si>
  <si>
    <t>BTL Only</t>
  </si>
  <si>
    <t>Rental Income</t>
  </si>
  <si>
    <t>House Value</t>
  </si>
  <si>
    <t>Field</t>
  </si>
  <si>
    <t>Value</t>
  </si>
  <si>
    <t>Island</t>
  </si>
  <si>
    <t>Broker Name</t>
  </si>
  <si>
    <t>Prepared By</t>
  </si>
  <si>
    <t>Date Prepared</t>
  </si>
  <si>
    <t>First Applicant Title</t>
  </si>
  <si>
    <t>Second Applicant Title</t>
  </si>
  <si>
    <t>First Applicant Forename</t>
  </si>
  <si>
    <t>Second Applicant Forename</t>
  </si>
  <si>
    <t>First Applicant Surname</t>
  </si>
  <si>
    <t>Second Applicant Surname</t>
  </si>
  <si>
    <t>First Applicant Self Employed</t>
  </si>
  <si>
    <t>Second Applicant Self Employed</t>
  </si>
  <si>
    <t>First Applicant Salary</t>
  </si>
  <si>
    <t>Second Applicant Salary</t>
  </si>
  <si>
    <t>First Applicant Bonus</t>
  </si>
  <si>
    <t>Second Applicant Bonus</t>
  </si>
  <si>
    <t>First Applicant Overtime</t>
  </si>
  <si>
    <t>Second Applicant Overtime</t>
  </si>
  <si>
    <t>First Applicant Car Allowance</t>
  </si>
  <si>
    <t>Second Applicant Car Allowance</t>
  </si>
  <si>
    <t>First Applicant Other Income</t>
  </si>
  <si>
    <t>Second Applicant Other Income</t>
  </si>
  <si>
    <t>Liability 1 Description</t>
  </si>
  <si>
    <t>Liability 1 Balance</t>
  </si>
  <si>
    <t>Liability 1 Repayment</t>
  </si>
  <si>
    <t>Liability 1 Expiry</t>
  </si>
  <si>
    <t>Liability 2 Description</t>
  </si>
  <si>
    <t>Liability 2 Balance</t>
  </si>
  <si>
    <t>Liability 2 Repayment</t>
  </si>
  <si>
    <t>Liability 2 Expiry</t>
  </si>
  <si>
    <t>Liability 3 Description</t>
  </si>
  <si>
    <t>Liability 3 Balance</t>
  </si>
  <si>
    <t>Liability 3 Repayment</t>
  </si>
  <si>
    <t>Liability 3 Expiry</t>
  </si>
  <si>
    <t>Liability 4 Description</t>
  </si>
  <si>
    <t>Liability 4 Balance</t>
  </si>
  <si>
    <t>Liability 4 Repayment</t>
  </si>
  <si>
    <t>Liability 4 Expiry</t>
  </si>
  <si>
    <t>Property Value</t>
  </si>
  <si>
    <t>Buy to Let Check</t>
  </si>
  <si>
    <t>Buy to Let Rent</t>
  </si>
  <si>
    <t>Requested Term</t>
  </si>
  <si>
    <t>AIP Indication</t>
  </si>
  <si>
    <t>Max AIP Referal</t>
  </si>
  <si>
    <t>Monthly C&amp;I Payment</t>
  </si>
  <si>
    <t>UK</t>
  </si>
  <si>
    <t>Short list</t>
  </si>
  <si>
    <t>Monthly C&amp;I 1</t>
  </si>
  <si>
    <t>Monthly C&amp;I 2</t>
  </si>
  <si>
    <t>Monthly C&amp;I 3</t>
  </si>
  <si>
    <t>Monthly C&amp;I 4</t>
  </si>
  <si>
    <t>Monthly C&amp;I 5</t>
  </si>
  <si>
    <t>Monthly C&amp;I 6</t>
  </si>
  <si>
    <t>Long list</t>
  </si>
  <si>
    <t>Date:</t>
  </si>
  <si>
    <t>Version:</t>
  </si>
  <si>
    <t>Skipton International Limited - Approval In Principle Indicator</t>
  </si>
  <si>
    <t>Available Mortgages:</t>
  </si>
  <si>
    <t>Fee</t>
  </si>
  <si>
    <t>Monthly Repayment*</t>
  </si>
  <si>
    <r>
      <t xml:space="preserve">*The actual monthly repayment may vary depending upon the date of mortgage completion
The above does not constitute an offer of a mortgage. Minimum Age 18 years. 
A full application with supporting documents will need to be considered by Skipton International Limited.
All mortgages are subject status and valuation. Skipton International Limited requires a first charge on the property.
</t>
    </r>
    <r>
      <rPr>
        <sz val="11"/>
        <color rgb="FF7030A0"/>
        <rFont val="Calibri"/>
        <family val="2"/>
      </rPr>
      <t xml:space="preserve">
</t>
    </r>
    <r>
      <rPr>
        <b/>
        <sz val="11"/>
        <color rgb="FF7030A0"/>
        <rFont val="Calibri"/>
        <family val="2"/>
      </rPr>
      <t>YOUR HOME MAY BE REPOSSESSED IF YOU DO NOT KEEP UP REPAYMENTS ON YOUR MORTGAGE</t>
    </r>
  </si>
  <si>
    <t>Capital &amp; Interest</t>
  </si>
  <si>
    <t>Interest</t>
  </si>
  <si>
    <t>Age of applicants</t>
  </si>
  <si>
    <t>First Applicant Age</t>
  </si>
  <si>
    <t>Second Applicant Age</t>
  </si>
  <si>
    <t>Min Valuation</t>
  </si>
  <si>
    <t>Max LTV Available</t>
  </si>
  <si>
    <t>Max</t>
  </si>
  <si>
    <t>Max Term/years</t>
  </si>
  <si>
    <t>Self Employed?:</t>
  </si>
  <si>
    <t>Application</t>
  </si>
  <si>
    <t>Available</t>
  </si>
  <si>
    <t>Purch</t>
  </si>
  <si>
    <t>Remo</t>
  </si>
  <si>
    <t>Remortgage</t>
  </si>
  <si>
    <t>Max Loan Size</t>
  </si>
  <si>
    <t>Min Mortgage Size</t>
  </si>
  <si>
    <t>years</t>
  </si>
  <si>
    <t>Max Application Age</t>
  </si>
  <si>
    <t>Age at application</t>
  </si>
  <si>
    <t>Min Application Age</t>
  </si>
  <si>
    <t>CMS without adjustment</t>
  </si>
  <si>
    <t>CMS</t>
  </si>
  <si>
    <t>Adjustment</t>
  </si>
  <si>
    <t>Rental Tolerance</t>
  </si>
  <si>
    <t>Min Sole Income</t>
  </si>
  <si>
    <t>ICR</t>
  </si>
  <si>
    <t>Tolerance Affordability</t>
  </si>
  <si>
    <t>Rental Tolerance Valid</t>
  </si>
  <si>
    <t>Tolerance Result</t>
  </si>
  <si>
    <t>≥</t>
  </si>
  <si>
    <t>Tolerance Max</t>
  </si>
  <si>
    <t>Normal Max</t>
  </si>
  <si>
    <t>Rent/mth</t>
  </si>
  <si>
    <t>Available Products</t>
  </si>
  <si>
    <t>Max AIP</t>
  </si>
  <si>
    <t>Residency</t>
  </si>
  <si>
    <t>Nationality</t>
  </si>
  <si>
    <t>Occupation</t>
  </si>
  <si>
    <t>PEP</t>
  </si>
  <si>
    <t>EXTREME DECLINE</t>
  </si>
  <si>
    <t>ZIMBABWE - ZIMBABWIAN</t>
  </si>
  <si>
    <t>Zimbabwe</t>
  </si>
  <si>
    <t>ZAMBIA - ZAMBIAN</t>
  </si>
  <si>
    <t>Zambia</t>
  </si>
  <si>
    <t>YEMEN - YEMENI</t>
  </si>
  <si>
    <t>Yemen</t>
  </si>
  <si>
    <t>LOW</t>
  </si>
  <si>
    <t xml:space="preserve">WALLIS AND FUTUNA ISLANDS - </t>
  </si>
  <si>
    <t>Wallis and Futuna Islands</t>
  </si>
  <si>
    <t>WALES - WELSH</t>
  </si>
  <si>
    <t>Wales</t>
  </si>
  <si>
    <t>HIGH</t>
  </si>
  <si>
    <t>VIRGIN ISL, BR - VIRGIN ISLANDERS</t>
  </si>
  <si>
    <t>Virgin Isl, BR</t>
  </si>
  <si>
    <t>VIRGIN IS, US - VIRGIN ISLANDERS</t>
  </si>
  <si>
    <t>Virgin Is, US</t>
  </si>
  <si>
    <t>VIETNAM - VIETNAMESE</t>
  </si>
  <si>
    <t>Vietnam</t>
  </si>
  <si>
    <t>VENEZUELA - VENEZUELIAN</t>
  </si>
  <si>
    <t>Venezuela</t>
  </si>
  <si>
    <t xml:space="preserve">VATICAN CITY STATE - </t>
  </si>
  <si>
    <t>Vatican City State</t>
  </si>
  <si>
    <t>VANUATU - VANUATUA</t>
  </si>
  <si>
    <t>Vanuatu</t>
  </si>
  <si>
    <t>UZBEKISTAN - UZBEK</t>
  </si>
  <si>
    <t>Uzbekistan</t>
  </si>
  <si>
    <t>URUGUAY - URUGUAYAN</t>
  </si>
  <si>
    <t>Uruguay</t>
  </si>
  <si>
    <t>UKRAINE - UKRAINE</t>
  </si>
  <si>
    <t>Ukraine</t>
  </si>
  <si>
    <t>UGANDA - UGANDAN</t>
  </si>
  <si>
    <t>Uganda</t>
  </si>
  <si>
    <t>U.S.A. - AMERICAN</t>
  </si>
  <si>
    <t>U.S.A.</t>
  </si>
  <si>
    <t>U.A.E - EMIRATI</t>
  </si>
  <si>
    <t>U.A.E</t>
  </si>
  <si>
    <t>MEDIUM</t>
  </si>
  <si>
    <t>TURKS/CAICOS - TURKS/CAICOS</t>
  </si>
  <si>
    <t>Turks/Caicos</t>
  </si>
  <si>
    <t>TURKMENISTAN - TURKMEN</t>
  </si>
  <si>
    <t>Turkmenistan</t>
  </si>
  <si>
    <t>TURKEY - TURKISH</t>
  </si>
  <si>
    <t>Turkey</t>
  </si>
  <si>
    <t>TUNISIA - TUNISIAN</t>
  </si>
  <si>
    <t>Tunisia</t>
  </si>
  <si>
    <t>TRINIDAD - TINIDADIAN</t>
  </si>
  <si>
    <t>Trinidad</t>
  </si>
  <si>
    <t xml:space="preserve">TONGA - </t>
  </si>
  <si>
    <t>Tonga</t>
  </si>
  <si>
    <t>TOGO - TOGOLESE</t>
  </si>
  <si>
    <t>Togo</t>
  </si>
  <si>
    <t>THAILAND - THAI</t>
  </si>
  <si>
    <t>Thailand</t>
  </si>
  <si>
    <t>TANZANIA - TANZANIAN</t>
  </si>
  <si>
    <t>Tanzania</t>
  </si>
  <si>
    <t>TAJIKISTAN - TAJIKISTANI</t>
  </si>
  <si>
    <t>Tajikistan</t>
  </si>
  <si>
    <t>TAIWAN - TAIWANESE</t>
  </si>
  <si>
    <t>Taiwan</t>
  </si>
  <si>
    <t>SYRIA - SYRIAN</t>
  </si>
  <si>
    <t>Syria</t>
  </si>
  <si>
    <t>SWITZERLAND - SWISS</t>
  </si>
  <si>
    <t>Switzerland</t>
  </si>
  <si>
    <t>SWEDEN - SWEDISH</t>
  </si>
  <si>
    <t>Sweden</t>
  </si>
  <si>
    <t>SWAZILAND - SWAZI</t>
  </si>
  <si>
    <t>Swaziland</t>
  </si>
  <si>
    <t xml:space="preserve">SURINAME - </t>
  </si>
  <si>
    <t>Suriname</t>
  </si>
  <si>
    <t>SUDAN - SUDANESE</t>
  </si>
  <si>
    <t>Sudan</t>
  </si>
  <si>
    <t>ST VINCENT &amp; GRENADINES - VINCENTIAN</t>
  </si>
  <si>
    <t>St Vincent &amp; Grenadines</t>
  </si>
  <si>
    <t>ST LUCIA - ST LUCIAN</t>
  </si>
  <si>
    <t>St Lucia</t>
  </si>
  <si>
    <t>ST KITTS/NEVIS - KITTIAN AND NEVISIAN</t>
  </si>
  <si>
    <t>St Kitts/Nevis</t>
  </si>
  <si>
    <t>ST HELENA - SAINT HELENIAN</t>
  </si>
  <si>
    <t>St Helena</t>
  </si>
  <si>
    <t>SRI LANKA - SRI LANKAN</t>
  </si>
  <si>
    <t>Sri Lanka</t>
  </si>
  <si>
    <t>SPAIN - SPANISH</t>
  </si>
  <si>
    <t>Spain</t>
  </si>
  <si>
    <t xml:space="preserve">SOUTH SUDAN - </t>
  </si>
  <si>
    <t>South Sudan</t>
  </si>
  <si>
    <t>SOUTH AFRICA - SOUTH AFRICAN</t>
  </si>
  <si>
    <t>South Africa</t>
  </si>
  <si>
    <t xml:space="preserve">SOMALIA - </t>
  </si>
  <si>
    <t>Somalia</t>
  </si>
  <si>
    <t>SOLOMON ISLDS - SOLOMON ISLANDER</t>
  </si>
  <si>
    <t>Solomon Islds</t>
  </si>
  <si>
    <t>SLOVENIA - SLOVENIAN</t>
  </si>
  <si>
    <t>Slovenia</t>
  </si>
  <si>
    <t>SLOVAKIA - SLOVAKIAN</t>
  </si>
  <si>
    <t>Slovakia</t>
  </si>
  <si>
    <t xml:space="preserve">SINT MAARTEN (DUTCH PART) - </t>
  </si>
  <si>
    <t>Sint Maarten (Dutch part)</t>
  </si>
  <si>
    <t>SINGAPORE - SINGAPOREAN</t>
  </si>
  <si>
    <t>Singapore</t>
  </si>
  <si>
    <t>SIERRA LEONE - SIERRA LEONIAN</t>
  </si>
  <si>
    <t>Sierra Leone</t>
  </si>
  <si>
    <t>SEYCHELLES - SEYCHELLOIS</t>
  </si>
  <si>
    <t>Seychelles</t>
  </si>
  <si>
    <t>SERBIA - SERBIAN</t>
  </si>
  <si>
    <t>Serbia</t>
  </si>
  <si>
    <t>SENEGAL - SENAGALESE</t>
  </si>
  <si>
    <t>Senegal</t>
  </si>
  <si>
    <t>SAUDI ARABIA - SAUDI ARABIAN</t>
  </si>
  <si>
    <t>Saudi Arabia</t>
  </si>
  <si>
    <t xml:space="preserve">SARK - </t>
  </si>
  <si>
    <t>Sark</t>
  </si>
  <si>
    <t>SAO TOME AND PRINCIPE - SOA TOMEAN</t>
  </si>
  <si>
    <t>Sao Tome and Principe</t>
  </si>
  <si>
    <t xml:space="preserve">SAN MARINO - </t>
  </si>
  <si>
    <t>San Marino</t>
  </si>
  <si>
    <t>SAMOA - SAMOAN</t>
  </si>
  <si>
    <t>Samoa</t>
  </si>
  <si>
    <t>SAINT MARTIN(FRENCH PART) - FRENCH CARIBBEAN</t>
  </si>
  <si>
    <t>Saint Martin(French part)</t>
  </si>
  <si>
    <t xml:space="preserve">SAINT BARTHELEMY - </t>
  </si>
  <si>
    <t>Saint Barthelemy</t>
  </si>
  <si>
    <t>RWANDA - RWANDAN</t>
  </si>
  <si>
    <t>Rwanda</t>
  </si>
  <si>
    <t>RUSSIA - RUSSIAN</t>
  </si>
  <si>
    <t>Russia</t>
  </si>
  <si>
    <t>ROMANIA - ROMANIAN</t>
  </si>
  <si>
    <t>Romania</t>
  </si>
  <si>
    <t xml:space="preserve">REUNION - </t>
  </si>
  <si>
    <t>Reunion</t>
  </si>
  <si>
    <t>QATAR - QATARI</t>
  </si>
  <si>
    <t>Qatar</t>
  </si>
  <si>
    <t>PUERTO RICO - PUERTO RICAN</t>
  </si>
  <si>
    <t>Puerto Rico</t>
  </si>
  <si>
    <t>PORTUGAL - PORTUGUESE</t>
  </si>
  <si>
    <t>Portugal</t>
  </si>
  <si>
    <t>POLAND - POLISH</t>
  </si>
  <si>
    <t>Poland</t>
  </si>
  <si>
    <t xml:space="preserve">PITCAIRN - </t>
  </si>
  <si>
    <t>Pitcairn</t>
  </si>
  <si>
    <t>PHILIPPINES - PHILLIPPINO</t>
  </si>
  <si>
    <t>Philippines</t>
  </si>
  <si>
    <t>PERU - PERUVIAN</t>
  </si>
  <si>
    <t>Peru</t>
  </si>
  <si>
    <t>PARAGUAY - PARAGUAYAN</t>
  </si>
  <si>
    <t>Paraguay</t>
  </si>
  <si>
    <t>PAPUA NEW GUINEA - PANAU NEW GUINEAIAN</t>
  </si>
  <si>
    <t>Papua New Guinea</t>
  </si>
  <si>
    <t>PANAMA - PANAMANIAN</t>
  </si>
  <si>
    <t>Panama</t>
  </si>
  <si>
    <t>PAKISTAN - PAKISTANI</t>
  </si>
  <si>
    <t>Pakistan</t>
  </si>
  <si>
    <t>OMAN, MUSCAT - OMANI</t>
  </si>
  <si>
    <t>Oman, Muscat</t>
  </si>
  <si>
    <t>NORWAY - NORWEGIAN</t>
  </si>
  <si>
    <t>Norway</t>
  </si>
  <si>
    <t xml:space="preserve">NIUE - </t>
  </si>
  <si>
    <t>Niue</t>
  </si>
  <si>
    <t>NIGERIA - NIGERIAN</t>
  </si>
  <si>
    <t>Nigeria</t>
  </si>
  <si>
    <t>NIGER - NIGERAN</t>
  </si>
  <si>
    <t>Niger</t>
  </si>
  <si>
    <t>NICARAGUA - NICARAGUAN</t>
  </si>
  <si>
    <t>Nicaragua</t>
  </si>
  <si>
    <t>NEW ZEALAND - NEW ZEALANDER</t>
  </si>
  <si>
    <t>New Zealand</t>
  </si>
  <si>
    <t xml:space="preserve">NEW CALEDONIA - </t>
  </si>
  <si>
    <t>New Caledonia</t>
  </si>
  <si>
    <t>NETHERLANDS - DUTCH</t>
  </si>
  <si>
    <t>Netherlands</t>
  </si>
  <si>
    <t>NETH ANTILLES - DUTCH</t>
  </si>
  <si>
    <t>Neth Antilles</t>
  </si>
  <si>
    <t>NEPAL - NEPALESE</t>
  </si>
  <si>
    <t>Nepal</t>
  </si>
  <si>
    <t>NAMIBIA - NAMIBIAN</t>
  </si>
  <si>
    <t>Namibia</t>
  </si>
  <si>
    <t>MYANMAR - BURMESE</t>
  </si>
  <si>
    <t>Myanmar</t>
  </si>
  <si>
    <t>MOZAMBIQUE - MOZAMBIQUAN</t>
  </si>
  <si>
    <t>Mozambique</t>
  </si>
  <si>
    <t>MOROCCO - MOROCCAN</t>
  </si>
  <si>
    <t>Morocco</t>
  </si>
  <si>
    <t>MONTESERRAT - MONTESERRAT</t>
  </si>
  <si>
    <t>Monteserrat</t>
  </si>
  <si>
    <t>MONTENEGRO - MONTENEGRIN</t>
  </si>
  <si>
    <t>Montenegro</t>
  </si>
  <si>
    <t xml:space="preserve">MONGOLIA - </t>
  </si>
  <si>
    <t>Mongolia</t>
  </si>
  <si>
    <t>MONACO - MANEGASQUE</t>
  </si>
  <si>
    <t>Monaco</t>
  </si>
  <si>
    <t>MOLDOVA - MOLDOVAN</t>
  </si>
  <si>
    <t>Moldova</t>
  </si>
  <si>
    <t xml:space="preserve">MICRONESIA FEDERATED STATES OF - </t>
  </si>
  <si>
    <t>Micronesia Federated States of</t>
  </si>
  <si>
    <t>MEXICO - MEXICAN</t>
  </si>
  <si>
    <t>Mexico</t>
  </si>
  <si>
    <t xml:space="preserve">MAYOTTE - </t>
  </si>
  <si>
    <t>Mayotte</t>
  </si>
  <si>
    <t>MAURITIUS - MAURITIAN</t>
  </si>
  <si>
    <t>Mauritius</t>
  </si>
  <si>
    <t>MAURITANIA - MAURITANIAN</t>
  </si>
  <si>
    <t>MAURITANIA</t>
  </si>
  <si>
    <t xml:space="preserve">MARTINIQUE - </t>
  </si>
  <si>
    <t>Martinique</t>
  </si>
  <si>
    <t>MARSHALL ISLANDS - MARSHALLESE</t>
  </si>
  <si>
    <t>Marshall Islands</t>
  </si>
  <si>
    <t>MALTA - MALTESE</t>
  </si>
  <si>
    <t>Malta</t>
  </si>
  <si>
    <t>MALI - MALIAN</t>
  </si>
  <si>
    <t>Mali</t>
  </si>
  <si>
    <t>MALDIVES - MALDIVIAN</t>
  </si>
  <si>
    <t>Maldives</t>
  </si>
  <si>
    <t>MALAYSIA - MALAYSIAN</t>
  </si>
  <si>
    <t>Malaysia</t>
  </si>
  <si>
    <t>MALAWI - MALAWIAN</t>
  </si>
  <si>
    <t>Malawi</t>
  </si>
  <si>
    <t>MADAGASCAR - MALAGASY</t>
  </si>
  <si>
    <t>Madagascar</t>
  </si>
  <si>
    <t xml:space="preserve">MACEDONIA - </t>
  </si>
  <si>
    <t>Macedonia</t>
  </si>
  <si>
    <t>MACAU - CHINESE</t>
  </si>
  <si>
    <t>Macau</t>
  </si>
  <si>
    <t>LUXEMBOURG - LUXEMBOURGIAN</t>
  </si>
  <si>
    <t>Luxembourg</t>
  </si>
  <si>
    <t>LITHUANIA - LITHUANIAN</t>
  </si>
  <si>
    <t>Lithuania</t>
  </si>
  <si>
    <t>LIECHTENSTEIN - LEICHTENSTEINR</t>
  </si>
  <si>
    <t>Liechtenstein</t>
  </si>
  <si>
    <t>LIBYA - LIBYAN</t>
  </si>
  <si>
    <t>Libya</t>
  </si>
  <si>
    <t>LIBERIA - LIBERIAN</t>
  </si>
  <si>
    <t>Liberia</t>
  </si>
  <si>
    <t>LESOTHO - MOSOTHO</t>
  </si>
  <si>
    <t>Lesotho</t>
  </si>
  <si>
    <t>LEBANON - LEBONESE</t>
  </si>
  <si>
    <t>Lebanon</t>
  </si>
  <si>
    <t>LATVIA - LATVIAN</t>
  </si>
  <si>
    <t>Latvia</t>
  </si>
  <si>
    <t>LAOS - LAOTIAN</t>
  </si>
  <si>
    <t>Laos</t>
  </si>
  <si>
    <t>KYRGYZSTAN - KYRGYZSTANI</t>
  </si>
  <si>
    <t>Kyrgyzstan</t>
  </si>
  <si>
    <t>KUWAIT - KUWAITI</t>
  </si>
  <si>
    <t>Kuwait</t>
  </si>
  <si>
    <t>KOREA, SOUTH - KOREAN</t>
  </si>
  <si>
    <t>Korea, South</t>
  </si>
  <si>
    <t>KOREA, NORTH - KOREAN</t>
  </si>
  <si>
    <t>Korea, North</t>
  </si>
  <si>
    <t>KENYA - KENYAN</t>
  </si>
  <si>
    <t>Kenya</t>
  </si>
  <si>
    <t>KAZAKHSTAN - KAZAKHSTANI</t>
  </si>
  <si>
    <t>Kazakhstan</t>
  </si>
  <si>
    <t>JORDAN - JORDANIAN</t>
  </si>
  <si>
    <t>Jordan</t>
  </si>
  <si>
    <t>JAPAN - JAPANESE</t>
  </si>
  <si>
    <t>Japan</t>
  </si>
  <si>
    <t>JAMAICA - JAMAICAN</t>
  </si>
  <si>
    <t>Jamaica</t>
  </si>
  <si>
    <t>IVORY COAST - IVORIAN</t>
  </si>
  <si>
    <t>Ivory Coast</t>
  </si>
  <si>
    <t>ITALY - ITALIAN</t>
  </si>
  <si>
    <t>Italy</t>
  </si>
  <si>
    <t>ISRAEL - ISRAELIAN</t>
  </si>
  <si>
    <t>Israel</t>
  </si>
  <si>
    <t>ISLE OF MAN - BRITISH - IOM</t>
  </si>
  <si>
    <t>Isle of Man</t>
  </si>
  <si>
    <t>IRAQ - IRAQI</t>
  </si>
  <si>
    <t>Iraq</t>
  </si>
  <si>
    <t>IRAN - IRANIAN</t>
  </si>
  <si>
    <t>Iran</t>
  </si>
  <si>
    <t>INDONESIA - INDONESIAN</t>
  </si>
  <si>
    <t>Indonesia</t>
  </si>
  <si>
    <t>INDIA - INDIAN</t>
  </si>
  <si>
    <t>India</t>
  </si>
  <si>
    <t>IFNI - IFNI</t>
  </si>
  <si>
    <t>Ifni</t>
  </si>
  <si>
    <t>ICELAND - ISLANDIC</t>
  </si>
  <si>
    <t>Iceland</t>
  </si>
  <si>
    <t>HUNGARY - HUNGARIAN</t>
  </si>
  <si>
    <t>Hungary</t>
  </si>
  <si>
    <t>HONG KONG - CHINESE</t>
  </si>
  <si>
    <t>Hong Kong</t>
  </si>
  <si>
    <t>HONDURAS - HONDURAN</t>
  </si>
  <si>
    <t>Honduras</t>
  </si>
  <si>
    <t>HAITI - HAITIAN</t>
  </si>
  <si>
    <t>Haiti</t>
  </si>
  <si>
    <t>GUYANA - GUYANIAN</t>
  </si>
  <si>
    <t>Guyana</t>
  </si>
  <si>
    <t>GUINEA-BISSAU - GUINEAN</t>
  </si>
  <si>
    <t>Guinea-Bissau</t>
  </si>
  <si>
    <t>GUINEA - GUINEAN</t>
  </si>
  <si>
    <t>Guinea</t>
  </si>
  <si>
    <t>GUATEMALA - GUATEMALAN</t>
  </si>
  <si>
    <t>Guatemala</t>
  </si>
  <si>
    <t>GUAM - GUAM - AMERICAN</t>
  </si>
  <si>
    <t>Guam</t>
  </si>
  <si>
    <t>GRENADA - GRENADIAN</t>
  </si>
  <si>
    <t>Grenada</t>
  </si>
  <si>
    <t xml:space="preserve">GREENLAND - </t>
  </si>
  <si>
    <t>Greenland</t>
  </si>
  <si>
    <t>GREECE - GREEK</t>
  </si>
  <si>
    <t>Greece</t>
  </si>
  <si>
    <t>GIBRALTAR - GIBRALTAR</t>
  </si>
  <si>
    <t>Gibraltar</t>
  </si>
  <si>
    <t>GHANA - GHANIAN</t>
  </si>
  <si>
    <t>Ghana</t>
  </si>
  <si>
    <t>GERMANY - GERMAN</t>
  </si>
  <si>
    <t>Germany</t>
  </si>
  <si>
    <t>GEORGIA - GEORGIAN</t>
  </si>
  <si>
    <t>Georgia</t>
  </si>
  <si>
    <t>GAMBIA - GAMBIAN</t>
  </si>
  <si>
    <t>Gambia</t>
  </si>
  <si>
    <t>FRANCE - FRENCH</t>
  </si>
  <si>
    <t>France</t>
  </si>
  <si>
    <t>FR POLYNESIA - FRENCH POLYNESIA</t>
  </si>
  <si>
    <t>Fr Polynesia</t>
  </si>
  <si>
    <t>FINLAND - FINISH</t>
  </si>
  <si>
    <t>Finland</t>
  </si>
  <si>
    <t>FIJI - FIJIAN</t>
  </si>
  <si>
    <t>Fiji</t>
  </si>
  <si>
    <t>FALKLAND ISLES - FALKLAND ISLES</t>
  </si>
  <si>
    <t>Falkland Isles</t>
  </si>
  <si>
    <t>FAEROE ISLANDS - FAROESE</t>
  </si>
  <si>
    <t>Faeroe Islands</t>
  </si>
  <si>
    <t>ETHIOPIA - ETHIOPIA</t>
  </si>
  <si>
    <t>Ethiopia</t>
  </si>
  <si>
    <t>ESTONIA - ESTONIAN</t>
  </si>
  <si>
    <t>Estonia</t>
  </si>
  <si>
    <t>ERITREA - ERITREAN</t>
  </si>
  <si>
    <t>Eritrea</t>
  </si>
  <si>
    <t xml:space="preserve">EL SALVADOR - </t>
  </si>
  <si>
    <t>El Salvador</t>
  </si>
  <si>
    <t>EIRE - IRISH</t>
  </si>
  <si>
    <t>Eire</t>
  </si>
  <si>
    <t>EGYPT - EGYPTIAN</t>
  </si>
  <si>
    <t>Egypt</t>
  </si>
  <si>
    <t>ECUADOR - ECUADORIAN</t>
  </si>
  <si>
    <t>Ecuador</t>
  </si>
  <si>
    <t>DOMINICAN REPUBLIC - DOMINICANS</t>
  </si>
  <si>
    <t>Dominican Republic</t>
  </si>
  <si>
    <t>DOMINICA - DOMINICA</t>
  </si>
  <si>
    <t>Dominica</t>
  </si>
  <si>
    <t>DJIBOUTI - DJIBOUTIAN</t>
  </si>
  <si>
    <t>Djibouti</t>
  </si>
  <si>
    <t>DENMARK - DANISH</t>
  </si>
  <si>
    <t>Denmark</t>
  </si>
  <si>
    <t>CZECH REPUBLIC - CZECH</t>
  </si>
  <si>
    <t>Czech Republic</t>
  </si>
  <si>
    <t>CYPRUS - CYPRIOT</t>
  </si>
  <si>
    <t>Cyprus</t>
  </si>
  <si>
    <t xml:space="preserve">CURACAO - </t>
  </si>
  <si>
    <t>Curacao</t>
  </si>
  <si>
    <t>CUBA - CUBAN</t>
  </si>
  <si>
    <t>Cuba</t>
  </si>
  <si>
    <t>CROATIA - CROATIAN</t>
  </si>
  <si>
    <t>Croatia</t>
  </si>
  <si>
    <t>COSTA RICA - COSTARICAN</t>
  </si>
  <si>
    <t>Costa Rica</t>
  </si>
  <si>
    <t xml:space="preserve">COOK ISLANDS - </t>
  </si>
  <si>
    <t>Cook Islands</t>
  </si>
  <si>
    <t>CONGO DEM REP OF - CONGOLESE</t>
  </si>
  <si>
    <t>Congo Dem Rep of</t>
  </si>
  <si>
    <t>COMORO ISLANDS - COMORIAN</t>
  </si>
  <si>
    <t>Comoro Islands</t>
  </si>
  <si>
    <t>COLOMBIA - COLOMBIAN</t>
  </si>
  <si>
    <t>Colombia</t>
  </si>
  <si>
    <t xml:space="preserve">COCOS (KEELING) ISLANDS - </t>
  </si>
  <si>
    <t>Cocos (Keeling) Islands</t>
  </si>
  <si>
    <t xml:space="preserve">CHRISTMAS ISLANDS - </t>
  </si>
  <si>
    <t>Christmas Islands</t>
  </si>
  <si>
    <t>CHINA - CHINESE</t>
  </si>
  <si>
    <t>China</t>
  </si>
  <si>
    <t>CHILE - CHILEAN</t>
  </si>
  <si>
    <t>Chile</t>
  </si>
  <si>
    <t>CHANNEL ISLANDS - BRITISH - CI</t>
  </si>
  <si>
    <t>Channel Islands</t>
  </si>
  <si>
    <t>CENTRAL AFRICA - AFRICAN</t>
  </si>
  <si>
    <t>Central Africa</t>
  </si>
  <si>
    <t>CAYMAN ISLANDS - CAYMANESE</t>
  </si>
  <si>
    <t>Cayman Islands</t>
  </si>
  <si>
    <t>CAPE VERDE - CAPE VERDEAN</t>
  </si>
  <si>
    <t>Cape Verde</t>
  </si>
  <si>
    <t>CANARY ISLANDS - SPANISH</t>
  </si>
  <si>
    <t>Canary Islands</t>
  </si>
  <si>
    <t>CANADA - CANADIAN</t>
  </si>
  <si>
    <t>Canada</t>
  </si>
  <si>
    <t>CAMEROON - CAMEROONIAN</t>
  </si>
  <si>
    <t>Cameroon</t>
  </si>
  <si>
    <t>CAMBODIA - CAMBODIAN</t>
  </si>
  <si>
    <t>Cambodia</t>
  </si>
  <si>
    <t>BURUNDI - BURUNDIAN</t>
  </si>
  <si>
    <t>Burundi</t>
  </si>
  <si>
    <t>BURMA - BURMESE</t>
  </si>
  <si>
    <t>Burma</t>
  </si>
  <si>
    <t>BURKINA FASO - BURKINABE</t>
  </si>
  <si>
    <t>Burkina Faso</t>
  </si>
  <si>
    <t>BULGARIA - BULGARIAN</t>
  </si>
  <si>
    <t>Bulgaria</t>
  </si>
  <si>
    <t>BRUNEI - BRUNEIAN</t>
  </si>
  <si>
    <t>Brunei</t>
  </si>
  <si>
    <t>BRAZIL - BRAZILIAN</t>
  </si>
  <si>
    <t>Brazil</t>
  </si>
  <si>
    <t xml:space="preserve">BOUVET ISLAND - </t>
  </si>
  <si>
    <t>Bouvet Island</t>
  </si>
  <si>
    <t>Industry Rating</t>
  </si>
  <si>
    <t>BOTSWANA - MOTSWANA</t>
  </si>
  <si>
    <t>Botswana</t>
  </si>
  <si>
    <t>BOSNIA/HERZEGO - BOSNIAN</t>
  </si>
  <si>
    <t>Bosnia/Herzego</t>
  </si>
  <si>
    <t xml:space="preserve">BONAIRE SINT EUSTATIUS AND SABA - </t>
  </si>
  <si>
    <t>Bonaire Sint Eustatius and Saba</t>
  </si>
  <si>
    <t>BOLIVIA - BOLIVIAN</t>
  </si>
  <si>
    <t>Bolivia</t>
  </si>
  <si>
    <t>Balance Rating</t>
  </si>
  <si>
    <t xml:space="preserve">BHUTAN - </t>
  </si>
  <si>
    <t>Bhutan</t>
  </si>
  <si>
    <t>BERMUDA - BERMUDAN</t>
  </si>
  <si>
    <t>Bermuda</t>
  </si>
  <si>
    <t>BELIZE - BELIZIAN</t>
  </si>
  <si>
    <t>Belize</t>
  </si>
  <si>
    <t>BELGIUM - BELGIAN</t>
  </si>
  <si>
    <t>Belgium</t>
  </si>
  <si>
    <t>BELARUS - BELARUSIAN</t>
  </si>
  <si>
    <t>Belarus</t>
  </si>
  <si>
    <t>VERY HIGH</t>
  </si>
  <si>
    <t>BARBADOS - BARBADIAN</t>
  </si>
  <si>
    <t>Barbados</t>
  </si>
  <si>
    <t>Residency Rating</t>
  </si>
  <si>
    <t>BANGLADESH - BANGLADESHI</t>
  </si>
  <si>
    <t>Bangladesh</t>
  </si>
  <si>
    <t>BAHRAIN - BAHRANIAN</t>
  </si>
  <si>
    <t>Bahrain</t>
  </si>
  <si>
    <t>BAHAMAS - BAHAMIAN</t>
  </si>
  <si>
    <t>Bahamas</t>
  </si>
  <si>
    <t>AZERBAIJAN - AZERBAIJANI</t>
  </si>
  <si>
    <t>Azerbaijan</t>
  </si>
  <si>
    <t>AUSTRIA - AUSTRIAN</t>
  </si>
  <si>
    <t>Austria</t>
  </si>
  <si>
    <t>AUSTRALIA - AUSTRALIAN</t>
  </si>
  <si>
    <t>Australia</t>
  </si>
  <si>
    <t>Nationality Rating</t>
  </si>
  <si>
    <t xml:space="preserve">ARUBA - </t>
  </si>
  <si>
    <t>Aruba</t>
  </si>
  <si>
    <t>ARMENIA - ARMENIAN</t>
  </si>
  <si>
    <t>Armenia</t>
  </si>
  <si>
    <t>PEP Score</t>
  </si>
  <si>
    <t>ARGENTINA - ARGENTINIAN</t>
  </si>
  <si>
    <t>Argentina</t>
  </si>
  <si>
    <t>ANTIGUA - ANTIGUAN</t>
  </si>
  <si>
    <t>Antigua</t>
  </si>
  <si>
    <t>Broker Score</t>
  </si>
  <si>
    <t>ANGUILLA - ANGUILLAN</t>
  </si>
  <si>
    <t>Anguilla</t>
  </si>
  <si>
    <t>ANGOLA - ANGOLAN</t>
  </si>
  <si>
    <t>Angola</t>
  </si>
  <si>
    <t>Low</t>
  </si>
  <si>
    <t>ANDORRA - ANDORRAN</t>
  </si>
  <si>
    <t>Andorra</t>
  </si>
  <si>
    <t>Public Procurement</t>
  </si>
  <si>
    <t>Medium</t>
  </si>
  <si>
    <t>AMERICAN SAMOA - SAMOAN</t>
  </si>
  <si>
    <t>American Samoa</t>
  </si>
  <si>
    <t>Private Military Contracts</t>
  </si>
  <si>
    <t>High</t>
  </si>
  <si>
    <t>Extreme Decline</t>
  </si>
  <si>
    <t>ALGERIA - ALGERIAN</t>
  </si>
  <si>
    <t>Algeria</t>
  </si>
  <si>
    <t>Relating to Weapons of Mass Destruction</t>
  </si>
  <si>
    <t>ALDERNEY - BRITISH - ALDERNEY</t>
  </si>
  <si>
    <t>Alderney</t>
  </si>
  <si>
    <t>Gambling</t>
  </si>
  <si>
    <t>Minimum Score</t>
  </si>
  <si>
    <t>Overall Scores</t>
  </si>
  <si>
    <t>ALBANIA - ALBANIAN</t>
  </si>
  <si>
    <t>Albania</t>
  </si>
  <si>
    <t>Extractive Industries</t>
  </si>
  <si>
    <t>AFGHANISTAN - AFGAN</t>
  </si>
  <si>
    <t>Afghanistan</t>
  </si>
  <si>
    <t>Construction (higher risk locations)</t>
  </si>
  <si>
    <t>UNITED KINGDOM - BRITISH</t>
  </si>
  <si>
    <t>United Kingdom</t>
  </si>
  <si>
    <t>Arms Trade &amp; Defence</t>
  </si>
  <si>
    <t>JERSEY - BRITISH - JERSEY</t>
  </si>
  <si>
    <t>Jersey</t>
  </si>
  <si>
    <t>Other</t>
  </si>
  <si>
    <t>GUERNSEY - BRITISH - GUERNSEY</t>
  </si>
  <si>
    <t>Guernsey</t>
  </si>
  <si>
    <t>Rating</t>
  </si>
  <si>
    <t>Industry</t>
  </si>
  <si>
    <t>Country</t>
  </si>
  <si>
    <t>Application Prinicpal Outcome</t>
  </si>
  <si>
    <t>Is Client a PEP?</t>
  </si>
  <si>
    <t>Industry of Occupation</t>
  </si>
  <si>
    <t>Country of Residence</t>
  </si>
  <si>
    <t>Input Cells</t>
  </si>
  <si>
    <t>Mortgage Application Acceptance</t>
  </si>
  <si>
    <t>Data Complete</t>
  </si>
  <si>
    <t>Risk Rating Incomplete</t>
  </si>
  <si>
    <t>Outside of Risk Tolerance</t>
  </si>
  <si>
    <t>Equity Amount</t>
  </si>
  <si>
    <t>SPV</t>
  </si>
  <si>
    <t>YES</t>
  </si>
  <si>
    <t xml:space="preserve">Ind </t>
  </si>
  <si>
    <t>Max LTV SPV</t>
  </si>
  <si>
    <t>SPV Minimum Loan</t>
  </si>
  <si>
    <t>SPV Table</t>
  </si>
  <si>
    <t>Stress Rate</t>
  </si>
  <si>
    <t>Variable / Fixed</t>
  </si>
  <si>
    <t>Variable</t>
  </si>
  <si>
    <t>Fixed</t>
  </si>
  <si>
    <t>Company lending?</t>
  </si>
  <si>
    <t>NOT ACCEPTED</t>
  </si>
  <si>
    <t>First Nationality</t>
  </si>
  <si>
    <t>Second Nationality</t>
  </si>
  <si>
    <t>Dual Nationality (if applicable)</t>
  </si>
  <si>
    <t>Restricted</t>
  </si>
  <si>
    <t>Restricted Country of Residence</t>
  </si>
  <si>
    <t>Restricted Country</t>
  </si>
  <si>
    <t>Kosovo</t>
  </si>
  <si>
    <t>KOSOVO - KOSOVAR</t>
  </si>
  <si>
    <t>BTL 3 Year Fixed (CUF10): Min Loan £400k</t>
  </si>
  <si>
    <t>BTL 3 Year Fixed (CUF09): Min Loan £100k</t>
  </si>
  <si>
    <t>BTL 3 Year Fixed (UF072): Min Loan £100k</t>
  </si>
  <si>
    <t>BTL 3 Year Fixed (UF073): Min Loan £400k</t>
  </si>
  <si>
    <t>Restricted SPV</t>
  </si>
  <si>
    <t>Min Joint Income</t>
  </si>
  <si>
    <t>Joint income</t>
  </si>
  <si>
    <t xml:space="preserve">Sole </t>
  </si>
  <si>
    <t>Joint</t>
  </si>
  <si>
    <t>BTL BRT (UT048): Up to £399k</t>
  </si>
  <si>
    <t>BTL BRT (UT049): Min Loan £400k</t>
  </si>
  <si>
    <t>BTL BRT (CUT07): £100k-£399k</t>
  </si>
  <si>
    <t>BTL BRT (CUT08): Min Loan £400k</t>
  </si>
  <si>
    <t>Pharmaceuticals</t>
  </si>
  <si>
    <t>Energy</t>
  </si>
  <si>
    <t>Benin</t>
  </si>
  <si>
    <t>BENIN - BENINOIS</t>
  </si>
  <si>
    <t>Palestine</t>
  </si>
  <si>
    <t>PALESTINE - PALESTINIAN</t>
  </si>
  <si>
    <t>NOT APPLICABLE</t>
  </si>
  <si>
    <t>Purchase</t>
  </si>
  <si>
    <t>Is this a joint application?</t>
  </si>
  <si>
    <t>BTL 5 Year Fixed (CUF14): Min Loan £400k</t>
  </si>
  <si>
    <t>Min Income (Joint)</t>
  </si>
  <si>
    <t>Minimum Income (Joint)</t>
  </si>
  <si>
    <t>BTL 5 Year Fixed (CUF13): Min Loan £200k</t>
  </si>
  <si>
    <t>BTL 5 Year Fixed (UF079): Min Loan £200k</t>
  </si>
  <si>
    <t>BTL 5 Year Fixed (UF080): Min Loan £500k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</si>
</sst>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3" formatCode="_-* #,##0.00_-;\-* #,##0.00_-;_-* &quot;-&quot;??_-;_-@_-"/>
    <numFmt numFmtId="164" formatCode="&quot;£&quot;#,##0"/>
    <numFmt numFmtId="165" formatCode="0.0%"/>
    <numFmt numFmtId="166" formatCode="0.000000"/>
    <numFmt numFmtId="167" formatCode="&quot;£&quot;#,##0.00"/>
    <numFmt numFmtId="168" formatCode="[$-F800]dddd\,\ mmmm\ dd\,\ yyyy"/>
    <numFmt numFmtId="169" formatCode="#,##0_ ;[Red]\-#,##0\ "/>
    <numFmt numFmtId="170" formatCode="#,##0_];\(#,##0\);\-_]"/>
    <numFmt numFmtId="171" formatCode="_(* #,##0.00_);_(* \(#,##0.00\);_(* &quot;-&quot;??_);_(@_)"/>
    <numFmt numFmtId="172" formatCode="_(&quot;£&quot;* #,##0.00_);_(&quot;£&quot;* \(#,##0.00\);_(&quot;£&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rgb="FF7C4199"/>
      <name val="Calibri"/>
      <family val="2"/>
      <scheme val="minor"/>
    </font>
    <font>
      <b/>
      <sz val="16"/>
      <color theme="1"/>
      <name val="Calibri"/>
      <family val="2"/>
      <scheme val="minor"/>
    </font>
    <font>
      <b/>
      <sz val="20"/>
      <color rgb="FF7C4199"/>
      <name val="Calibri"/>
      <family val="2"/>
      <scheme val="minor"/>
    </font>
    <font>
      <b/>
      <sz val="14"/>
      <color rgb="FF7C4199"/>
      <name val="Calibri"/>
      <family val="2"/>
      <scheme val="minor"/>
    </font>
    <font>
      <sz val="12"/>
      <color rgb="FF7C4199"/>
      <name val="Arial"/>
      <family val="2"/>
    </font>
    <font>
      <sz val="10"/>
      <color theme="1"/>
      <name val="Calibri"/>
      <family val="2"/>
      <scheme val="minor"/>
    </font>
    <font>
      <b/>
      <sz val="36"/>
      <color rgb="FF7C4199"/>
      <name val="Calibri"/>
      <family val="2"/>
      <scheme val="minor"/>
    </font>
    <font>
      <b/>
      <sz val="24"/>
      <color rgb="FF7C4199"/>
      <name val="Calibri"/>
      <family val="2"/>
      <scheme val="minor"/>
    </font>
    <font>
      <b/>
      <sz val="14"/>
      <color theme="1"/>
      <name val="Calibri"/>
      <family val="2"/>
      <scheme val="minor"/>
    </font>
    <font>
      <sz val="11"/>
      <color rgb="FF7030A0"/>
      <name val="Calibri"/>
      <family val="2"/>
    </font>
    <font>
      <b/>
      <sz val="11"/>
      <color rgb="FF7030A0"/>
      <name val="Calibri"/>
      <family val="2"/>
    </font>
    <font>
      <sz val="11"/>
      <color theme="1" tint="0.499984740745262"/>
      <name val="Calibri"/>
      <family val="2"/>
      <scheme val="minor"/>
    </font>
    <font>
      <b/>
      <sz val="16"/>
      <color rgb="FF7030A0"/>
      <name val="Calibri"/>
      <family val="2"/>
      <scheme val="minor"/>
    </font>
    <font>
      <b/>
      <sz val="11"/>
      <color rgb="FF7030A0"/>
      <name val="Calibri"/>
      <family val="2"/>
      <scheme val="minor"/>
    </font>
    <font>
      <sz val="11"/>
      <color theme="1"/>
      <name val="Calibri"/>
      <family val="2"/>
    </font>
    <font>
      <sz val="11"/>
      <name val="Calibri"/>
      <family val="2"/>
      <scheme val="minor"/>
    </font>
    <font>
      <b/>
      <u/>
      <sz val="11"/>
      <color theme="1"/>
      <name val="Calibri"/>
      <family val="2"/>
      <scheme val="minor"/>
    </font>
    <font>
      <sz val="11"/>
      <color rgb="FFFF0000"/>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ACA2F8"/>
        <bgColor indexed="64"/>
      </patternFill>
    </fill>
    <fill>
      <patternFill patternType="solid">
        <fgColor rgb="FFFFFF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cellStyleXfs>
  <cellXfs count="243">
    <xf numFmtId="0" fontId="0" fillId="0" borderId="0" xfId="0"/>
    <xf numFmtId="0" fontId="0" fillId="0" borderId="0" xfId="0" applyAlignment="1">
      <alignment horizontal="right" vertical="top"/>
    </xf>
    <xf numFmtId="0" fontId="0" fillId="0" borderId="0" xfId="0" applyAlignment="1">
      <alignment horizontal="center" vertical="top" wrapText="1"/>
    </xf>
    <xf numFmtId="164" fontId="0" fillId="0" borderId="0" xfId="0" applyNumberFormat="1"/>
    <xf numFmtId="0" fontId="0" fillId="0" borderId="0" xfId="0"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8" xfId="0" applyBorder="1"/>
    <xf numFmtId="0" fontId="0" fillId="0" borderId="9" xfId="0" applyBorder="1"/>
    <xf numFmtId="166" fontId="0" fillId="0" borderId="0" xfId="0" applyNumberFormat="1"/>
    <xf numFmtId="0" fontId="2" fillId="0" borderId="1" xfId="0" applyFont="1" applyBorder="1"/>
    <xf numFmtId="0" fontId="0" fillId="0" borderId="2" xfId="0" applyBorder="1" applyAlignment="1">
      <alignment horizontal="right"/>
    </xf>
    <xf numFmtId="2" fontId="0" fillId="0" borderId="0" xfId="0" applyNumberFormat="1"/>
    <xf numFmtId="164" fontId="0" fillId="0" borderId="7" xfId="0" applyNumberFormat="1" applyBorder="1"/>
    <xf numFmtId="9" fontId="1" fillId="0" borderId="5" xfId="1" applyFont="1" applyBorder="1"/>
    <xf numFmtId="9" fontId="1" fillId="0" borderId="8" xfId="1" applyFont="1" applyBorder="1"/>
    <xf numFmtId="0" fontId="0" fillId="0" borderId="4" xfId="0" applyBorder="1" applyAlignment="1">
      <alignment horizontal="right"/>
    </xf>
    <xf numFmtId="0" fontId="0" fillId="0" borderId="6" xfId="0" applyBorder="1" applyAlignment="1">
      <alignment horizontal="right"/>
    </xf>
    <xf numFmtId="0" fontId="0" fillId="0" borderId="3" xfId="0" applyBorder="1" applyAlignment="1">
      <alignment horizontal="right"/>
    </xf>
    <xf numFmtId="164" fontId="0" fillId="0" borderId="8" xfId="0" applyNumberFormat="1" applyBorder="1"/>
    <xf numFmtId="0" fontId="0" fillId="0" borderId="0" xfId="0" applyAlignment="1">
      <alignment vertical="center"/>
    </xf>
    <xf numFmtId="0" fontId="0" fillId="2" borderId="6" xfId="0" applyFill="1" applyBorder="1" applyProtection="1">
      <protection locked="0"/>
    </xf>
    <xf numFmtId="164" fontId="0" fillId="2" borderId="7" xfId="0" applyNumberFormat="1" applyFill="1" applyBorder="1" applyProtection="1">
      <protection locked="0"/>
    </xf>
    <xf numFmtId="0" fontId="0" fillId="2" borderId="10" xfId="0" applyFill="1" applyBorder="1" applyProtection="1">
      <protection locked="0"/>
    </xf>
    <xf numFmtId="0" fontId="3" fillId="0" borderId="0" xfId="0" applyFont="1"/>
    <xf numFmtId="0" fontId="0" fillId="0" borderId="0" xfId="0" applyProtection="1">
      <protection hidden="1"/>
    </xf>
    <xf numFmtId="0" fontId="0" fillId="0" borderId="0" xfId="0" applyAlignment="1" applyProtection="1">
      <alignment horizontal="right"/>
      <protection hidden="1"/>
    </xf>
    <xf numFmtId="9" fontId="0" fillId="0" borderId="0" xfId="0" applyNumberFormat="1" applyProtection="1">
      <protection hidden="1"/>
    </xf>
    <xf numFmtId="164" fontId="0" fillId="0" borderId="0" xfId="0" applyNumberFormat="1" applyProtection="1">
      <protection hidden="1"/>
    </xf>
    <xf numFmtId="0" fontId="0" fillId="0" borderId="0" xfId="0" applyAlignment="1" applyProtection="1">
      <alignment vertical="center"/>
      <protection hidden="1"/>
    </xf>
    <xf numFmtId="167" fontId="0" fillId="0" borderId="0" xfId="0" applyNumberFormat="1"/>
    <xf numFmtId="0" fontId="0" fillId="0" borderId="0" xfId="0" applyProtection="1">
      <protection locked="0" hidden="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right"/>
    </xf>
    <xf numFmtId="0" fontId="0" fillId="2" borderId="12" xfId="0" applyFill="1" applyBorder="1" applyProtection="1">
      <protection locked="0"/>
    </xf>
    <xf numFmtId="9" fontId="0" fillId="2" borderId="5" xfId="0" applyNumberFormat="1" applyFill="1" applyBorder="1" applyProtection="1">
      <protection locked="0"/>
    </xf>
    <xf numFmtId="9" fontId="0" fillId="2" borderId="8" xfId="0" applyNumberFormat="1" applyFill="1" applyBorder="1" applyProtection="1">
      <protection locked="0"/>
    </xf>
    <xf numFmtId="9" fontId="0" fillId="2" borderId="7" xfId="0" applyNumberFormat="1" applyFill="1" applyBorder="1" applyProtection="1">
      <protection locked="0"/>
    </xf>
    <xf numFmtId="10" fontId="0" fillId="2" borderId="5" xfId="0" applyNumberFormat="1" applyFill="1" applyBorder="1" applyProtection="1">
      <protection locked="0"/>
    </xf>
    <xf numFmtId="6" fontId="0" fillId="0" borderId="0" xfId="0" applyNumberFormat="1" applyProtection="1">
      <protection locked="0"/>
    </xf>
    <xf numFmtId="0" fontId="4" fillId="0" borderId="0" xfId="0" applyFont="1" applyAlignment="1" applyProtection="1">
      <alignment horizontal="center" vertical="center"/>
      <protection hidden="1"/>
    </xf>
    <xf numFmtId="0" fontId="0" fillId="0" borderId="0" xfId="0" applyAlignment="1">
      <alignment horizontal="center" wrapText="1"/>
    </xf>
    <xf numFmtId="0" fontId="0" fillId="0" borderId="0" xfId="0" applyAlignment="1">
      <alignment horizontal="center"/>
    </xf>
    <xf numFmtId="164" fontId="0" fillId="0" borderId="0" xfId="0" applyNumberFormat="1" applyAlignment="1">
      <alignment horizontal="center"/>
    </xf>
    <xf numFmtId="0" fontId="5" fillId="0" borderId="0" xfId="0" applyFont="1" applyAlignment="1">
      <alignment horizontal="center"/>
    </xf>
    <xf numFmtId="0" fontId="6" fillId="0" borderId="0" xfId="0" applyFont="1" applyAlignment="1">
      <alignment horizontal="center"/>
    </xf>
    <xf numFmtId="14" fontId="0" fillId="0" borderId="0" xfId="0" applyNumberFormat="1" applyAlignment="1">
      <alignment horizontal="center"/>
    </xf>
    <xf numFmtId="168" fontId="6" fillId="0" borderId="0" xfId="0" applyNumberFormat="1" applyFont="1" applyAlignment="1">
      <alignment horizontal="center"/>
    </xf>
    <xf numFmtId="168" fontId="7" fillId="0" borderId="0" xfId="0" applyNumberFormat="1" applyFont="1"/>
    <xf numFmtId="0" fontId="8" fillId="0" borderId="0" xfId="0" applyFont="1" applyAlignment="1">
      <alignment horizontal="center" wrapText="1"/>
    </xf>
    <xf numFmtId="0" fontId="9" fillId="0" borderId="0" xfId="0" applyFont="1" applyAlignment="1">
      <alignment horizontal="center"/>
    </xf>
    <xf numFmtId="164" fontId="10" fillId="0" borderId="0" xfId="0" applyNumberFormat="1" applyFont="1" applyAlignment="1">
      <alignment horizontal="center"/>
    </xf>
    <xf numFmtId="6" fontId="0" fillId="2" borderId="5" xfId="0" applyNumberFormat="1" applyFill="1" applyBorder="1" applyProtection="1">
      <protection locked="0"/>
    </xf>
    <xf numFmtId="0" fontId="0" fillId="0" borderId="3" xfId="0" applyBorder="1" applyProtection="1">
      <protection locked="0"/>
    </xf>
    <xf numFmtId="0" fontId="0" fillId="0" borderId="5" xfId="0" applyBorder="1" applyProtection="1">
      <protection locked="0"/>
    </xf>
    <xf numFmtId="0" fontId="0" fillId="2" borderId="2" xfId="0" applyFill="1" applyBorder="1" applyProtection="1">
      <protection locked="0"/>
    </xf>
    <xf numFmtId="0" fontId="0" fillId="2" borderId="7" xfId="0" applyFill="1" applyBorder="1" applyProtection="1">
      <protection locked="0"/>
    </xf>
    <xf numFmtId="6" fontId="0" fillId="2" borderId="8" xfId="0" applyNumberFormat="1" applyFill="1" applyBorder="1" applyProtection="1">
      <protection locked="0"/>
    </xf>
    <xf numFmtId="6" fontId="0" fillId="2" borderId="0" xfId="0" applyNumberFormat="1" applyFill="1" applyProtection="1">
      <protection locked="0"/>
    </xf>
    <xf numFmtId="6" fontId="0" fillId="2" borderId="7" xfId="0" applyNumberFormat="1" applyFill="1" applyBorder="1" applyProtection="1">
      <protection locked="0"/>
    </xf>
    <xf numFmtId="0" fontId="0" fillId="0" borderId="1" xfId="0" applyBorder="1" applyAlignment="1">
      <alignment horizontal="right"/>
    </xf>
    <xf numFmtId="164" fontId="0" fillId="2" borderId="5" xfId="0" applyNumberFormat="1" applyFill="1" applyBorder="1" applyProtection="1">
      <protection locked="0"/>
    </xf>
    <xf numFmtId="0" fontId="0" fillId="2" borderId="0" xfId="0" applyFill="1" applyProtection="1">
      <protection locked="0"/>
    </xf>
    <xf numFmtId="14" fontId="0" fillId="3" borderId="0" xfId="0" applyNumberFormat="1" applyFill="1"/>
    <xf numFmtId="10" fontId="0" fillId="2" borderId="7" xfId="0" applyNumberFormat="1" applyFill="1" applyBorder="1" applyProtection="1">
      <protection locked="0"/>
    </xf>
    <xf numFmtId="0" fontId="0" fillId="2" borderId="7" xfId="0" applyFill="1" applyBorder="1" applyAlignment="1" applyProtection="1">
      <alignment horizontal="center"/>
      <protection locked="0"/>
    </xf>
    <xf numFmtId="15" fontId="0" fillId="4" borderId="11" xfId="0" applyNumberFormat="1" applyFill="1" applyBorder="1" applyProtection="1">
      <protection locked="0"/>
    </xf>
    <xf numFmtId="164" fontId="0" fillId="4" borderId="4" xfId="0" applyNumberFormat="1" applyFill="1" applyBorder="1" applyProtection="1">
      <protection locked="0"/>
    </xf>
    <xf numFmtId="164" fontId="0" fillId="4" borderId="5" xfId="0" applyNumberFormat="1" applyFill="1" applyBorder="1" applyProtection="1">
      <protection locked="0"/>
    </xf>
    <xf numFmtId="164" fontId="0" fillId="4" borderId="6" xfId="0" applyNumberFormat="1" applyFill="1" applyBorder="1" applyProtection="1">
      <protection locked="0"/>
    </xf>
    <xf numFmtId="164" fontId="0" fillId="4" borderId="8" xfId="0" applyNumberFormat="1" applyFill="1" applyBorder="1" applyProtection="1">
      <protection locked="0"/>
    </xf>
    <xf numFmtId="164" fontId="0" fillId="4" borderId="11" xfId="0" applyNumberFormat="1" applyFill="1" applyBorder="1" applyProtection="1">
      <protection locked="0"/>
    </xf>
    <xf numFmtId="0" fontId="0" fillId="4" borderId="11" xfId="0" applyFill="1" applyBorder="1" applyAlignment="1" applyProtection="1">
      <alignment horizontal="right"/>
      <protection locked="0"/>
    </xf>
    <xf numFmtId="164" fontId="0" fillId="4" borderId="9" xfId="0" applyNumberFormat="1" applyFill="1" applyBorder="1" applyProtection="1">
      <protection locked="0"/>
    </xf>
    <xf numFmtId="0" fontId="0" fillId="4" borderId="10" xfId="0" applyFill="1" applyBorder="1" applyProtection="1">
      <protection locked="0"/>
    </xf>
    <xf numFmtId="164" fontId="0" fillId="0" borderId="0" xfId="0" applyNumberFormat="1" applyProtection="1">
      <protection locked="0"/>
    </xf>
    <xf numFmtId="0" fontId="11" fillId="0" borderId="0" xfId="0" applyFont="1"/>
    <xf numFmtId="10" fontId="0" fillId="0" borderId="0" xfId="1" applyNumberFormat="1" applyFont="1" applyBorder="1"/>
    <xf numFmtId="10" fontId="0" fillId="0" borderId="0" xfId="0" applyNumberFormat="1"/>
    <xf numFmtId="10" fontId="0" fillId="0" borderId="0" xfId="0" applyNumberFormat="1" applyAlignment="1">
      <alignment horizontal="right" indent="1"/>
    </xf>
    <xf numFmtId="165" fontId="0" fillId="2" borderId="7" xfId="0" applyNumberFormat="1" applyFill="1" applyBorder="1" applyProtection="1">
      <protection locked="0"/>
    </xf>
    <xf numFmtId="165" fontId="0" fillId="0" borderId="0" xfId="1" applyNumberFormat="1" applyFont="1" applyBorder="1"/>
    <xf numFmtId="165" fontId="0" fillId="0" borderId="0" xfId="0" applyNumberFormat="1"/>
    <xf numFmtId="164" fontId="0" fillId="0" borderId="0" xfId="0" applyNumberFormat="1" applyAlignment="1">
      <alignment horizontal="right"/>
    </xf>
    <xf numFmtId="9" fontId="14" fillId="0" borderId="0" xfId="1" applyFont="1" applyAlignment="1">
      <alignment horizontal="center"/>
    </xf>
    <xf numFmtId="0" fontId="0" fillId="4" borderId="6" xfId="0" applyFill="1" applyBorder="1" applyProtection="1">
      <protection locked="0"/>
    </xf>
    <xf numFmtId="164" fontId="0" fillId="0" borderId="5" xfId="0" applyNumberFormat="1" applyBorder="1"/>
    <xf numFmtId="164" fontId="0" fillId="4" borderId="13" xfId="0" applyNumberFormat="1" applyFill="1" applyBorder="1" applyProtection="1">
      <protection locked="0"/>
    </xf>
    <xf numFmtId="164" fontId="0" fillId="4" borderId="14" xfId="0" applyNumberFormat="1" applyFill="1" applyBorder="1" applyProtection="1">
      <protection locked="0"/>
    </xf>
    <xf numFmtId="164" fontId="0" fillId="4" borderId="1" xfId="0" applyNumberFormat="1" applyFill="1" applyBorder="1" applyProtection="1">
      <protection locked="0"/>
    </xf>
    <xf numFmtId="164" fontId="0" fillId="4" borderId="3" xfId="0" applyNumberFormat="1" applyFill="1" applyBorder="1" applyProtection="1">
      <protection locked="0"/>
    </xf>
    <xf numFmtId="14" fontId="0" fillId="0" borderId="0" xfId="0" applyNumberFormat="1" applyAlignment="1">
      <alignment horizontal="right"/>
    </xf>
    <xf numFmtId="15" fontId="0" fillId="0" borderId="0" xfId="0" applyNumberFormat="1" applyAlignment="1">
      <alignment horizontal="right"/>
    </xf>
    <xf numFmtId="1" fontId="0" fillId="0" borderId="0" xfId="0" applyNumberFormat="1"/>
    <xf numFmtId="10" fontId="0" fillId="0" borderId="2" xfId="0" applyNumberFormat="1" applyBorder="1"/>
    <xf numFmtId="165" fontId="0" fillId="0" borderId="2" xfId="0" applyNumberFormat="1" applyBorder="1"/>
    <xf numFmtId="10" fontId="0" fillId="0" borderId="7" xfId="0" applyNumberFormat="1" applyBorder="1"/>
    <xf numFmtId="165" fontId="0" fillId="0" borderId="7" xfId="0" applyNumberFormat="1" applyBorder="1"/>
    <xf numFmtId="0" fontId="0" fillId="0" borderId="0" xfId="0" applyProtection="1">
      <protection locked="0"/>
    </xf>
    <xf numFmtId="10" fontId="0" fillId="0" borderId="0" xfId="0" applyNumberFormat="1" applyProtection="1">
      <protection locked="0"/>
    </xf>
    <xf numFmtId="165" fontId="0" fillId="0" borderId="0" xfId="0" applyNumberFormat="1" applyProtection="1">
      <protection locked="0"/>
    </xf>
    <xf numFmtId="9" fontId="0" fillId="0" borderId="0" xfId="0" applyNumberFormat="1" applyProtection="1">
      <protection locked="0"/>
    </xf>
    <xf numFmtId="0" fontId="0" fillId="0" borderId="0" xfId="0" applyAlignment="1" applyProtection="1">
      <alignment horizontal="center"/>
      <protection locked="0"/>
    </xf>
    <xf numFmtId="0" fontId="15" fillId="0" borderId="0" xfId="0" applyFont="1" applyAlignment="1">
      <alignment horizontal="right"/>
    </xf>
    <xf numFmtId="0" fontId="16" fillId="0" borderId="0" xfId="0" applyFont="1"/>
    <xf numFmtId="0" fontId="16" fillId="0" borderId="0" xfId="0" applyFont="1" applyAlignment="1">
      <alignment vertical="center"/>
    </xf>
    <xf numFmtId="0" fontId="16" fillId="0" borderId="0" xfId="0" applyFont="1" applyAlignment="1">
      <alignment horizontal="left" vertical="center"/>
    </xf>
    <xf numFmtId="6" fontId="0" fillId="2" borderId="4" xfId="0" applyNumberFormat="1" applyFill="1" applyBorder="1" applyProtection="1">
      <protection locked="0"/>
    </xf>
    <xf numFmtId="1" fontId="0" fillId="0" borderId="0" xfId="0" applyNumberFormat="1" applyAlignment="1">
      <alignment horizontal="right"/>
    </xf>
    <xf numFmtId="9" fontId="0" fillId="2" borderId="3" xfId="0" applyNumberFormat="1" applyFill="1" applyBorder="1"/>
    <xf numFmtId="169" fontId="0" fillId="2" borderId="5" xfId="0" applyNumberFormat="1" applyFill="1" applyBorder="1" applyProtection="1">
      <protection locked="0"/>
    </xf>
    <xf numFmtId="0" fontId="0" fillId="5" borderId="4" xfId="0" applyFill="1" applyBorder="1"/>
    <xf numFmtId="10" fontId="0" fillId="5" borderId="0" xfId="0" applyNumberFormat="1" applyFill="1"/>
    <xf numFmtId="165" fontId="0" fillId="5" borderId="0" xfId="0" applyNumberFormat="1" applyFill="1"/>
    <xf numFmtId="164" fontId="0" fillId="5" borderId="5" xfId="0" applyNumberFormat="1" applyFill="1" applyBorder="1"/>
    <xf numFmtId="164" fontId="0" fillId="5" borderId="0" xfId="0" applyNumberFormat="1" applyFill="1"/>
    <xf numFmtId="167" fontId="0" fillId="5" borderId="0" xfId="0" applyNumberFormat="1" applyFill="1"/>
    <xf numFmtId="0" fontId="0" fillId="5" borderId="6" xfId="0" applyFill="1" applyBorder="1"/>
    <xf numFmtId="10" fontId="0" fillId="5" borderId="7" xfId="0" applyNumberFormat="1" applyFill="1" applyBorder="1"/>
    <xf numFmtId="165" fontId="0" fillId="5" borderId="7" xfId="0" applyNumberFormat="1" applyFill="1" applyBorder="1"/>
    <xf numFmtId="164" fontId="0" fillId="5" borderId="8" xfId="0" applyNumberFormat="1" applyFill="1" applyBorder="1"/>
    <xf numFmtId="10" fontId="0" fillId="0" borderId="0" xfId="1" applyNumberFormat="1" applyFont="1" applyBorder="1" applyAlignment="1">
      <alignment horizontal="center"/>
    </xf>
    <xf numFmtId="165" fontId="0" fillId="0" borderId="0" xfId="1" applyNumberFormat="1" applyFont="1" applyBorder="1" applyAlignment="1">
      <alignment horizontal="center"/>
    </xf>
    <xf numFmtId="10" fontId="0" fillId="0" borderId="7" xfId="1" applyNumberFormat="1" applyFont="1" applyBorder="1" applyAlignment="1">
      <alignment horizontal="center"/>
    </xf>
    <xf numFmtId="165" fontId="0" fillId="0" borderId="7" xfId="1" applyNumberFormat="1" applyFont="1" applyBorder="1" applyAlignment="1">
      <alignment horizontal="center"/>
    </xf>
    <xf numFmtId="164" fontId="0" fillId="0" borderId="7" xfId="0" applyNumberFormat="1" applyBorder="1" applyAlignment="1">
      <alignment horizontal="center"/>
    </xf>
    <xf numFmtId="164" fontId="0" fillId="2" borderId="8" xfId="0" applyNumberFormat="1" applyFill="1" applyBorder="1" applyAlignment="1" applyProtection="1">
      <alignment horizontal="center"/>
      <protection locked="0"/>
    </xf>
    <xf numFmtId="164" fontId="0" fillId="0" borderId="0" xfId="0" applyNumberFormat="1" applyAlignment="1" applyProtection="1">
      <alignment horizontal="center"/>
      <protection locked="0"/>
    </xf>
    <xf numFmtId="6" fontId="0" fillId="0" borderId="0" xfId="0" applyNumberFormat="1"/>
    <xf numFmtId="0" fontId="2" fillId="0" borderId="0" xfId="0" applyFont="1"/>
    <xf numFmtId="43" fontId="0" fillId="0" borderId="0" xfId="2" applyFont="1" applyBorder="1"/>
    <xf numFmtId="43" fontId="0" fillId="0" borderId="0" xfId="2" applyFont="1"/>
    <xf numFmtId="43" fontId="0" fillId="0" borderId="4" xfId="2" applyFont="1" applyBorder="1"/>
    <xf numFmtId="43" fontId="0" fillId="0" borderId="5" xfId="2" applyFont="1" applyBorder="1" applyAlignment="1">
      <alignment horizontal="right"/>
    </xf>
    <xf numFmtId="43" fontId="0" fillId="0" borderId="6" xfId="2" applyFont="1" applyBorder="1"/>
    <xf numFmtId="43" fontId="0" fillId="0" borderId="7" xfId="2" applyFont="1" applyBorder="1"/>
    <xf numFmtId="43" fontId="0" fillId="0" borderId="8" xfId="2" applyFont="1" applyBorder="1"/>
    <xf numFmtId="0" fontId="0" fillId="0" borderId="0" xfId="0" quotePrefix="1"/>
    <xf numFmtId="10" fontId="0" fillId="2" borderId="8" xfId="0" applyNumberFormat="1" applyFill="1" applyBorder="1" applyProtection="1">
      <protection locked="0"/>
    </xf>
    <xf numFmtId="10" fontId="0" fillId="0" borderId="3" xfId="0" applyNumberFormat="1" applyBorder="1" applyProtection="1">
      <protection locked="0"/>
    </xf>
    <xf numFmtId="9" fontId="1" fillId="0" borderId="0" xfId="1" applyFont="1" applyBorder="1"/>
    <xf numFmtId="0" fontId="17" fillId="0" borderId="0" xfId="0" applyFont="1"/>
    <xf numFmtId="10" fontId="0" fillId="0" borderId="0" xfId="1" applyNumberFormat="1" applyFont="1" applyFill="1" applyBorder="1"/>
    <xf numFmtId="165" fontId="0" fillId="0" borderId="0" xfId="1" applyNumberFormat="1" applyFont="1" applyFill="1" applyBorder="1"/>
    <xf numFmtId="10" fontId="0" fillId="0" borderId="7" xfId="1" applyNumberFormat="1" applyFont="1" applyBorder="1"/>
    <xf numFmtId="165" fontId="0" fillId="0" borderId="7" xfId="1" applyNumberFormat="1" applyFont="1" applyBorder="1"/>
    <xf numFmtId="15" fontId="0" fillId="0" borderId="0" xfId="0" applyNumberFormat="1" applyProtection="1">
      <protection locked="0"/>
    </xf>
    <xf numFmtId="0" fontId="0" fillId="6" borderId="15" xfId="0" applyFill="1" applyBorder="1"/>
    <xf numFmtId="0" fontId="0" fillId="6" borderId="16" xfId="0" applyFill="1" applyBorder="1"/>
    <xf numFmtId="0" fontId="0" fillId="7" borderId="15" xfId="0" applyFill="1" applyBorder="1"/>
    <xf numFmtId="0" fontId="0" fillId="7" borderId="16" xfId="0" applyFill="1" applyBorder="1"/>
    <xf numFmtId="0" fontId="0" fillId="7" borderId="17" xfId="0" applyFill="1" applyBorder="1"/>
    <xf numFmtId="170" fontId="0" fillId="6" borderId="15" xfId="0" applyNumberFormat="1" applyFill="1" applyBorder="1"/>
    <xf numFmtId="170" fontId="0" fillId="6" borderId="17" xfId="0" applyNumberFormat="1" applyFill="1" applyBorder="1"/>
    <xf numFmtId="170" fontId="0" fillId="6" borderId="16" xfId="0" applyNumberFormat="1" applyFill="1" applyBorder="1"/>
    <xf numFmtId="170" fontId="0" fillId="6" borderId="18" xfId="0" applyNumberFormat="1" applyFill="1" applyBorder="1"/>
    <xf numFmtId="0" fontId="0" fillId="6" borderId="17" xfId="0" applyFill="1" applyBorder="1"/>
    <xf numFmtId="171" fontId="0" fillId="0" borderId="0" xfId="3" applyFont="1" applyAlignment="1" applyProtection="1"/>
    <xf numFmtId="171" fontId="0" fillId="0" borderId="0" xfId="3" applyFont="1" applyProtection="1"/>
    <xf numFmtId="0" fontId="0" fillId="8" borderId="11" xfId="0" applyFill="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2" fillId="0" borderId="14" xfId="0" applyFont="1" applyBorder="1" applyAlignment="1">
      <alignment horizontal="center"/>
    </xf>
    <xf numFmtId="0" fontId="2" fillId="0" borderId="0" xfId="0" quotePrefix="1" applyFont="1" applyAlignment="1">
      <alignment horizontal="center"/>
    </xf>
    <xf numFmtId="0" fontId="0" fillId="0" borderId="0" xfId="0" applyAlignment="1">
      <alignment wrapText="1"/>
    </xf>
    <xf numFmtId="167" fontId="0" fillId="9" borderId="11" xfId="4" applyNumberFormat="1" applyFont="1" applyFill="1" applyBorder="1" applyAlignment="1" applyProtection="1">
      <alignment horizontal="center"/>
      <protection locked="0"/>
    </xf>
    <xf numFmtId="0" fontId="18" fillId="9" borderId="11" xfId="0" applyFont="1" applyFill="1" applyBorder="1" applyAlignment="1">
      <alignment horizontal="center"/>
    </xf>
    <xf numFmtId="0" fontId="19" fillId="0" borderId="0" xfId="0" applyFont="1"/>
    <xf numFmtId="1" fontId="0" fillId="9" borderId="11" xfId="0" applyNumberFormat="1" applyFill="1" applyBorder="1" applyAlignment="1" applyProtection="1">
      <alignment horizontal="center"/>
      <protection locked="0"/>
    </xf>
    <xf numFmtId="0" fontId="0" fillId="4" borderId="7" xfId="0" applyFill="1" applyBorder="1" applyAlignment="1" applyProtection="1">
      <alignment horizontal="center"/>
      <protection locked="0"/>
    </xf>
    <xf numFmtId="1" fontId="0" fillId="4" borderId="7" xfId="0" applyNumberFormat="1" applyFill="1" applyBorder="1" applyAlignment="1" applyProtection="1">
      <alignment horizontal="center"/>
      <protection locked="0"/>
    </xf>
    <xf numFmtId="1" fontId="0" fillId="4" borderId="8" xfId="0" applyNumberFormat="1" applyFill="1" applyBorder="1" applyAlignment="1" applyProtection="1">
      <alignment horizontal="center"/>
      <protection locked="0"/>
    </xf>
    <xf numFmtId="0" fontId="0" fillId="0" borderId="0" xfId="0" applyAlignment="1" applyProtection="1">
      <alignment horizontal="left"/>
      <protection locked="0"/>
    </xf>
    <xf numFmtId="0" fontId="0" fillId="4" borderId="11" xfId="0" applyFill="1" applyBorder="1" applyAlignment="1" applyProtection="1">
      <alignment horizontal="left"/>
      <protection locked="0"/>
    </xf>
    <xf numFmtId="0" fontId="0" fillId="0" borderId="11" xfId="0" applyBorder="1" applyAlignment="1">
      <alignment horizontal="left"/>
    </xf>
    <xf numFmtId="9" fontId="0" fillId="2" borderId="11" xfId="0" applyNumberFormat="1" applyFill="1" applyBorder="1" applyAlignment="1">
      <alignment horizontal="right"/>
    </xf>
    <xf numFmtId="6" fontId="0" fillId="0" borderId="11" xfId="0" applyNumberFormat="1" applyBorder="1" applyProtection="1">
      <protection locked="0"/>
    </xf>
    <xf numFmtId="6" fontId="0" fillId="2" borderId="11" xfId="0" applyNumberFormat="1" applyFill="1" applyBorder="1" applyProtection="1">
      <protection locked="0"/>
    </xf>
    <xf numFmtId="164" fontId="18" fillId="0" borderId="0" xfId="0" applyNumberFormat="1" applyFont="1"/>
    <xf numFmtId="10" fontId="0" fillId="2" borderId="0" xfId="0" applyNumberFormat="1" applyFill="1"/>
    <xf numFmtId="164" fontId="0" fillId="2" borderId="7" xfId="0" applyNumberFormat="1" applyFill="1" applyBorder="1" applyAlignment="1" applyProtection="1">
      <alignment horizontal="center"/>
      <protection locked="0"/>
    </xf>
    <xf numFmtId="0" fontId="18" fillId="0" borderId="4" xfId="0" applyFont="1" applyBorder="1"/>
    <xf numFmtId="164" fontId="18" fillId="0" borderId="5" xfId="0" applyNumberFormat="1" applyFont="1" applyBorder="1"/>
    <xf numFmtId="0" fontId="0" fillId="8" borderId="11" xfId="0" applyFill="1" applyBorder="1"/>
    <xf numFmtId="0" fontId="0" fillId="6" borderId="0" xfId="0" applyFill="1"/>
    <xf numFmtId="0" fontId="20" fillId="2" borderId="4" xfId="0" applyFont="1" applyFill="1" applyBorder="1" applyProtection="1">
      <protection locked="0"/>
    </xf>
    <xf numFmtId="10" fontId="20" fillId="2" borderId="0" xfId="0" applyNumberFormat="1" applyFont="1" applyFill="1" applyProtection="1">
      <protection locked="0"/>
    </xf>
    <xf numFmtId="165" fontId="20" fillId="2" borderId="0" xfId="0" applyNumberFormat="1" applyFont="1" applyFill="1" applyProtection="1">
      <protection locked="0"/>
    </xf>
    <xf numFmtId="9" fontId="20" fillId="2" borderId="0" xfId="0" applyNumberFormat="1" applyFont="1" applyFill="1" applyProtection="1">
      <protection locked="0"/>
    </xf>
    <xf numFmtId="164" fontId="20" fillId="2" borderId="0" xfId="0" applyNumberFormat="1" applyFont="1" applyFill="1" applyProtection="1">
      <protection locked="0"/>
    </xf>
    <xf numFmtId="0" fontId="20" fillId="2" borderId="0" xfId="0" applyFont="1" applyFill="1" applyProtection="1">
      <protection locked="0"/>
    </xf>
    <xf numFmtId="0" fontId="20" fillId="2" borderId="0" xfId="0" applyFont="1" applyFill="1" applyAlignment="1" applyProtection="1">
      <alignment horizontal="center"/>
      <protection locked="0"/>
    </xf>
    <xf numFmtId="164" fontId="20" fillId="2" borderId="0" xfId="0" applyNumberFormat="1" applyFont="1" applyFill="1" applyAlignment="1" applyProtection="1">
      <alignment horizontal="center"/>
      <protection locked="0"/>
    </xf>
    <xf numFmtId="164" fontId="20" fillId="2" borderId="5" xfId="0" applyNumberFormat="1" applyFont="1" applyFill="1" applyBorder="1" applyAlignment="1" applyProtection="1">
      <alignment horizontal="center"/>
      <protection locked="0"/>
    </xf>
    <xf numFmtId="10" fontId="20" fillId="2" borderId="4" xfId="0" applyNumberFormat="1" applyFont="1" applyFill="1" applyBorder="1" applyProtection="1">
      <protection locked="0"/>
    </xf>
    <xf numFmtId="165" fontId="20" fillId="2" borderId="4" xfId="0" applyNumberFormat="1" applyFont="1" applyFill="1" applyBorder="1" applyProtection="1">
      <protection locked="0"/>
    </xf>
    <xf numFmtId="43" fontId="0" fillId="0" borderId="0" xfId="2" applyFont="1" applyBorder="1" applyAlignment="1">
      <alignment horizontal="left"/>
    </xf>
    <xf numFmtId="0" fontId="18" fillId="0" borderId="6" xfId="0" applyFont="1" applyBorder="1"/>
    <xf numFmtId="0" fontId="0" fillId="4" borderId="13" xfId="0" applyFill="1" applyBorder="1" applyProtection="1">
      <protection locked="0"/>
    </xf>
    <xf numFmtId="0" fontId="0" fillId="4" borderId="19" xfId="0" applyFill="1" applyBorder="1" applyAlignment="1" applyProtection="1">
      <alignment horizontal="center"/>
      <protection locked="0"/>
    </xf>
    <xf numFmtId="1" fontId="0" fillId="4" borderId="19" xfId="0" applyNumberFormat="1" applyFill="1" applyBorder="1" applyAlignment="1" applyProtection="1">
      <alignment horizontal="center"/>
      <protection locked="0"/>
    </xf>
    <xf numFmtId="1" fontId="0" fillId="4" borderId="14" xfId="0" applyNumberFormat="1" applyFill="1" applyBorder="1" applyAlignment="1" applyProtection="1">
      <alignment horizontal="center"/>
      <protection locked="0"/>
    </xf>
    <xf numFmtId="0" fontId="0" fillId="6" borderId="20" xfId="0" applyFill="1" applyBorder="1"/>
    <xf numFmtId="9" fontId="1" fillId="2" borderId="5" xfId="1" applyFont="1" applyFill="1" applyBorder="1" applyAlignment="1">
      <alignment horizontal="right"/>
    </xf>
    <xf numFmtId="6" fontId="0" fillId="2" borderId="8" xfId="0" applyNumberFormat="1" applyFill="1" applyBorder="1"/>
    <xf numFmtId="0" fontId="2" fillId="10" borderId="4" xfId="0" applyFont="1" applyFill="1" applyBorder="1" applyProtection="1">
      <protection locked="0"/>
    </xf>
    <xf numFmtId="10" fontId="2" fillId="10" borderId="0" xfId="0" applyNumberFormat="1" applyFont="1" applyFill="1" applyProtection="1">
      <protection locked="0"/>
    </xf>
    <xf numFmtId="165" fontId="2" fillId="10" borderId="0" xfId="0" applyNumberFormat="1" applyFont="1" applyFill="1" applyProtection="1">
      <protection locked="0"/>
    </xf>
    <xf numFmtId="9" fontId="2" fillId="10" borderId="0" xfId="0" applyNumberFormat="1" applyFont="1" applyFill="1" applyProtection="1">
      <protection locked="0"/>
    </xf>
    <xf numFmtId="164" fontId="2" fillId="10" borderId="0" xfId="0" applyNumberFormat="1" applyFont="1" applyFill="1" applyProtection="1">
      <protection locked="0"/>
    </xf>
    <xf numFmtId="0" fontId="2" fillId="10" borderId="0" xfId="0" applyFont="1" applyFill="1" applyProtection="1">
      <protection locked="0"/>
    </xf>
    <xf numFmtId="0" fontId="2" fillId="10" borderId="0" xfId="0" applyFont="1" applyFill="1" applyAlignment="1" applyProtection="1">
      <alignment horizontal="center"/>
      <protection locked="0"/>
    </xf>
    <xf numFmtId="164" fontId="2" fillId="10" borderId="0" xfId="0" applyNumberFormat="1" applyFont="1" applyFill="1" applyAlignment="1" applyProtection="1">
      <alignment horizontal="center"/>
      <protection locked="0"/>
    </xf>
    <xf numFmtId="164" fontId="2" fillId="10" borderId="5" xfId="0" applyNumberFormat="1" applyFont="1" applyFill="1" applyBorder="1" applyAlignment="1" applyProtection="1">
      <alignment horizontal="center"/>
      <protection locked="0"/>
    </xf>
    <xf numFmtId="0" fontId="20" fillId="0" borderId="0" xfId="0" applyFont="1"/>
    <xf numFmtId="0" fontId="0" fillId="0" borderId="0" xfId="0" applyAlignment="1">
      <alignment horizontal="left"/>
    </xf>
    <xf numFmtId="0" fontId="0" fillId="0" borderId="0" xfId="0" applyAlignment="1">
      <alignment horizontal="center" wrapText="1"/>
    </xf>
    <xf numFmtId="0" fontId="0" fillId="4" borderId="7" xfId="0" applyFill="1" applyBorder="1" applyAlignment="1" applyProtection="1">
      <alignment horizontal="left"/>
      <protection locked="0"/>
    </xf>
    <xf numFmtId="0" fontId="0" fillId="4" borderId="13" xfId="0" applyFill="1" applyBorder="1" applyProtection="1">
      <protection locked="0"/>
    </xf>
    <xf numFmtId="0" fontId="0" fillId="4" borderId="14" xfId="0" applyFill="1" applyBorder="1" applyProtection="1">
      <protection locked="0"/>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5" xfId="0" applyBorder="1" applyAlignment="1">
      <alignment horizontal="center"/>
    </xf>
    <xf numFmtId="164" fontId="0" fillId="0" borderId="0" xfId="0" applyNumberFormat="1" applyAlignment="1">
      <alignment horizontal="center"/>
    </xf>
    <xf numFmtId="164" fontId="0" fillId="0" borderId="7" xfId="0" applyNumberFormat="1" applyBorder="1" applyAlignment="1">
      <alignment horizontal="center"/>
    </xf>
    <xf numFmtId="0" fontId="0" fillId="0" borderId="8" xfId="0" applyBorder="1" applyAlignment="1">
      <alignment horizontal="center"/>
    </xf>
    <xf numFmtId="0" fontId="0" fillId="4" borderId="1" xfId="0" applyFill="1"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4" borderId="6" xfId="0" applyFill="1"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0" xfId="0" applyAlignment="1">
      <alignment horizontal="left"/>
    </xf>
    <xf numFmtId="0" fontId="0" fillId="4" borderId="19" xfId="0" applyFill="1" applyBorder="1" applyAlignment="1" applyProtection="1">
      <alignment horizontal="left"/>
      <protection locked="0"/>
    </xf>
    <xf numFmtId="0" fontId="0" fillId="0" borderId="0" xfId="0" applyAlignment="1">
      <alignment horizontal="center" vertical="center"/>
    </xf>
    <xf numFmtId="0" fontId="2" fillId="0" borderId="0" xfId="0" applyFont="1" applyAlignment="1">
      <alignment horizontal="center"/>
    </xf>
    <xf numFmtId="167" fontId="2" fillId="10" borderId="0" xfId="0" applyNumberFormat="1" applyFont="1" applyFill="1" applyProtection="1">
      <protection locked="0"/>
    </xf>
  </cellXfs>
  <cellStyles count="5">
    <cellStyle name="Comma" xfId="2" builtinId="3"/>
    <cellStyle name="Comma 2" xfId="3" xr:uid="{18AE8214-F04D-49F2-A9A6-F1C3EA41B16C}"/>
    <cellStyle name="Currency 2" xfId="4" xr:uid="{3FA11000-DFB9-4DDE-9BD8-CFD1E35E2340}"/>
    <cellStyle name="Normal" xfId="0" builtinId="0"/>
    <cellStyle name="Percent" xfId="1" builtinId="5"/>
  </cellStyles>
  <dxfs count="9">
    <dxf>
      <fill>
        <patternFill>
          <bgColor rgb="FFFF0000"/>
        </patternFill>
      </fill>
    </dxf>
    <dxf>
      <fill>
        <patternFill>
          <bgColor rgb="FFFF0000"/>
        </patternFill>
      </fill>
    </dxf>
    <dxf>
      <font>
        <b/>
        <i val="0"/>
      </font>
      <fill>
        <patternFill>
          <bgColor rgb="FFFF0000"/>
        </patternFill>
      </fill>
    </dxf>
    <dxf>
      <font>
        <color theme="1"/>
      </font>
      <fill>
        <patternFill>
          <bgColor rgb="FFC00000"/>
        </patternFill>
      </fill>
    </dxf>
    <dxf>
      <font>
        <b/>
        <i val="0"/>
      </font>
      <fill>
        <patternFill>
          <bgColor rgb="FF92D050"/>
        </patternFill>
      </fill>
    </dxf>
    <dxf>
      <font>
        <b/>
        <i val="0"/>
      </font>
      <fill>
        <patternFill>
          <bgColor rgb="FFFF0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5</xdr:col>
      <xdr:colOff>8964</xdr:colOff>
      <xdr:row>13</xdr:row>
      <xdr:rowOff>24655</xdr:rowOff>
    </xdr:from>
    <xdr:to>
      <xdr:col>7</xdr:col>
      <xdr:colOff>642255</xdr:colOff>
      <xdr:row>19</xdr:row>
      <xdr:rowOff>23086</xdr:rowOff>
    </xdr:to>
    <xdr:pic>
      <xdr:nvPicPr>
        <xdr:cNvPr id="2" name="Picture 2" descr="0137 SIL ID_CMYK_w-#2547C53.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5432611" y="2377890"/>
          <a:ext cx="2134879" cy="125349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28576</xdr:rowOff>
    </xdr:from>
    <xdr:to>
      <xdr:col>0</xdr:col>
      <xdr:colOff>9896475</xdr:colOff>
      <xdr:row>23</xdr:row>
      <xdr:rowOff>142876</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76200" y="28576"/>
          <a:ext cx="9820275" cy="6191250"/>
        </a:xfrm>
        <a:prstGeom prst="roundRect">
          <a:avLst>
            <a:gd name="adj" fmla="val 8655"/>
          </a:avLst>
        </a:prstGeom>
        <a:noFill/>
        <a:ln w="50800">
          <a:solidFill>
            <a:srgbClr val="7C41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editAs="oneCell">
    <xdr:from>
      <xdr:col>0</xdr:col>
      <xdr:colOff>3638550</xdr:colOff>
      <xdr:row>0</xdr:row>
      <xdr:rowOff>161925</xdr:rowOff>
    </xdr:from>
    <xdr:to>
      <xdr:col>0</xdr:col>
      <xdr:colOff>6353175</xdr:colOff>
      <xdr:row>8</xdr:row>
      <xdr:rowOff>200025</xdr:rowOff>
    </xdr:to>
    <xdr:pic>
      <xdr:nvPicPr>
        <xdr:cNvPr id="3074" name="Picture 5" descr="0137 SIL ID_CMYK_w-#2547C53.jpg">
          <a:extLst>
            <a:ext uri="{FF2B5EF4-FFF2-40B4-BE49-F238E27FC236}">
              <a16:creationId xmlns:a16="http://schemas.microsoft.com/office/drawing/2014/main" id="{00000000-0008-0000-0300-0000020C0000}"/>
            </a:ext>
          </a:extLst>
        </xdr:cNvPr>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3638550" y="161925"/>
          <a:ext cx="2714625" cy="15621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342901</xdr:colOff>
      <xdr:row>2</xdr:row>
      <xdr:rowOff>114300</xdr:rowOff>
    </xdr:from>
    <xdr:to>
      <xdr:col>11</xdr:col>
      <xdr:colOff>552451</xdr:colOff>
      <xdr:row>9</xdr:row>
      <xdr:rowOff>180975</xdr:rowOff>
    </xdr:to>
    <xdr:grpSp>
      <xdr:nvGrpSpPr>
        <xdr:cNvPr id="2" name="Group 1">
          <a:extLst>
            <a:ext uri="{FF2B5EF4-FFF2-40B4-BE49-F238E27FC236}">
              <a16:creationId xmlns:a16="http://schemas.microsoft.com/office/drawing/2014/main" id="{D70CF989-E1C5-4D2C-9FE4-F39D723BE088}"/>
            </a:ext>
          </a:extLst>
        </xdr:cNvPr>
        <xdr:cNvGrpSpPr/>
      </xdr:nvGrpSpPr>
      <xdr:grpSpPr>
        <a:xfrm>
          <a:off x="10858501" y="495300"/>
          <a:ext cx="2066925" cy="1400175"/>
          <a:chOff x="9382126" y="723900"/>
          <a:chExt cx="2038350" cy="1971675"/>
        </a:xfrm>
      </xdr:grpSpPr>
      <xdr:sp macro="Clear_Form" textlink="">
        <xdr:nvSpPr>
          <xdr:cNvPr id="3" name="Pentagon 2">
            <a:extLst>
              <a:ext uri="{FF2B5EF4-FFF2-40B4-BE49-F238E27FC236}">
                <a16:creationId xmlns:a16="http://schemas.microsoft.com/office/drawing/2014/main" id="{A41AFF62-48F1-A9BF-DB57-A72A519C3B49}"/>
              </a:ext>
            </a:extLst>
          </xdr:cNvPr>
          <xdr:cNvSpPr/>
        </xdr:nvSpPr>
        <xdr:spPr>
          <a:xfrm>
            <a:off x="9382126" y="723900"/>
            <a:ext cx="2038350" cy="1971675"/>
          </a:xfrm>
          <a:prstGeom prst="pentagon">
            <a:avLst/>
          </a:prstGeom>
          <a:solidFill>
            <a:srgbClr val="ACA2F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Clear_Form" textlink="">
        <xdr:nvSpPr>
          <xdr:cNvPr id="4" name="TextBox 3">
            <a:extLst>
              <a:ext uri="{FF2B5EF4-FFF2-40B4-BE49-F238E27FC236}">
                <a16:creationId xmlns:a16="http://schemas.microsoft.com/office/drawing/2014/main" id="{D318D207-CF48-91CD-711F-1E485813A893}"/>
              </a:ext>
            </a:extLst>
          </xdr:cNvPr>
          <xdr:cNvSpPr txBox="1"/>
        </xdr:nvSpPr>
        <xdr:spPr>
          <a:xfrm>
            <a:off x="9686925" y="1352550"/>
            <a:ext cx="1457324" cy="809625"/>
          </a:xfrm>
          <a:prstGeom prst="rect">
            <a:avLst/>
          </a:prstGeom>
          <a:solidFill>
            <a:srgbClr val="ACA2F8"/>
          </a:solidFill>
          <a:ln w="9525" cmpd="sng">
            <a:solidFill>
              <a:srgbClr val="ACA2F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600" b="1"/>
              <a:t>CLEAR FORM</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ow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glprod.internal\shares\Mortgages\Sales\AIP%20Indicator\Old%20Versions\AIP%20Indicator%20150824%20U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w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P Indicator"/>
      <sheetName val="Fee Indicator (optional)"/>
      <sheetName val="Mortgage Certificate"/>
      <sheetName val="Calculations"/>
      <sheetName val="Metrics &amp; Drop Downs"/>
      <sheetName val="Sheet1"/>
    </sheetNames>
    <sheetDataSet>
      <sheetData sheetId="0">
        <row r="1">
          <cell r="G1" t="str">
            <v>Guernsey</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5"/>
  <sheetViews>
    <sheetView showGridLines="0" tabSelected="1" zoomScale="85" zoomScaleNormal="85" workbookViewId="0">
      <selection activeCell="B3" sqref="B3:E3"/>
    </sheetView>
  </sheetViews>
  <sheetFormatPr defaultRowHeight="15" x14ac:dyDescent="0.25"/>
  <cols>
    <col min="1" max="1" width="33.28515625" customWidth="1"/>
    <col min="2" max="2" width="13.7109375" customWidth="1"/>
    <col min="3" max="3" width="13.42578125" customWidth="1"/>
    <col min="4" max="4" width="11.28515625" customWidth="1"/>
    <col min="5" max="5" width="9.5703125" customWidth="1"/>
    <col min="6" max="6" width="10.5703125" customWidth="1"/>
    <col min="7" max="7" width="12" bestFit="1" customWidth="1"/>
    <col min="8" max="8" width="15.5703125" customWidth="1"/>
    <col min="9" max="9" width="26.5703125" bestFit="1" customWidth="1"/>
    <col min="10" max="10" width="30.7109375" bestFit="1" customWidth="1"/>
    <col min="11" max="11" width="23.42578125" customWidth="1"/>
    <col min="12" max="12" width="8.28515625" customWidth="1"/>
    <col min="13" max="13" width="0.7109375" customWidth="1"/>
    <col min="14" max="14" width="42.42578125" bestFit="1" customWidth="1"/>
    <col min="15" max="15" width="8.5703125" style="83" customWidth="1"/>
    <col min="16" max="16" width="7.7109375" customWidth="1"/>
    <col min="17" max="17" width="10.5703125" style="88" bestFit="1" customWidth="1"/>
  </cols>
  <sheetData>
    <row r="1" spans="1:17" ht="21" x14ac:dyDescent="0.35">
      <c r="A1" s="28" t="s">
        <v>147</v>
      </c>
      <c r="G1" s="108" t="s">
        <v>136</v>
      </c>
      <c r="H1" s="108"/>
      <c r="I1" s="108"/>
      <c r="J1" s="108"/>
      <c r="K1" s="108"/>
      <c r="L1" s="108"/>
      <c r="N1" s="81" t="s">
        <v>186</v>
      </c>
      <c r="O1" s="84" t="s">
        <v>25</v>
      </c>
      <c r="P1" s="4" t="s">
        <v>79</v>
      </c>
      <c r="Q1" s="88" t="s">
        <v>187</v>
      </c>
    </row>
    <row r="3" spans="1:17" x14ac:dyDescent="0.25">
      <c r="A3" t="s">
        <v>1</v>
      </c>
      <c r="B3" s="232"/>
      <c r="C3" s="233"/>
      <c r="D3" s="233"/>
      <c r="E3" s="234"/>
      <c r="F3" s="4" t="s">
        <v>145</v>
      </c>
      <c r="G3" s="71"/>
      <c r="H3" s="151"/>
      <c r="I3" s="151"/>
      <c r="J3" s="151"/>
      <c r="K3" s="151"/>
      <c r="L3" s="151"/>
      <c r="N3" t="str">
        <f>IFERROR('Metrics &amp; Drop Downs'!AA5,"")</f>
        <v/>
      </c>
      <c r="O3" s="83" t="str">
        <f>'Metrics &amp; Drop Downs'!AB5</f>
        <v/>
      </c>
      <c r="P3" s="87" t="str">
        <f>'Metrics &amp; Drop Downs'!AC5</f>
        <v/>
      </c>
      <c r="Q3" s="88" t="str">
        <f>IF(N3="", "", IF(Calculations!H10=0, "", Calculations!H10))</f>
        <v/>
      </c>
    </row>
    <row r="4" spans="1:17" x14ac:dyDescent="0.25">
      <c r="A4" t="s">
        <v>0</v>
      </c>
      <c r="B4" s="235"/>
      <c r="C4" s="236"/>
      <c r="D4" s="236"/>
      <c r="E4" s="237"/>
      <c r="F4" s="4" t="s">
        <v>146</v>
      </c>
      <c r="G4" s="68">
        <v>45534</v>
      </c>
      <c r="H4" s="68"/>
      <c r="I4" s="68"/>
      <c r="J4" s="68"/>
      <c r="K4" s="68"/>
      <c r="L4" s="68"/>
      <c r="N4" t="str">
        <f>IFERROR('Metrics &amp; Drop Downs'!AA7,"")</f>
        <v/>
      </c>
      <c r="O4" s="83" t="str">
        <f>'Metrics &amp; Drop Downs'!AB7</f>
        <v/>
      </c>
      <c r="P4" s="87" t="str">
        <f>'Metrics &amp; Drop Downs'!AC7</f>
        <v/>
      </c>
      <c r="Q4" s="88" t="str">
        <f>IF(N4="", "", IF(Calculations!H11=0, "", Calculations!H11))</f>
        <v/>
      </c>
    </row>
    <row r="5" spans="1:17" ht="14.25" customHeight="1" x14ac:dyDescent="0.25">
      <c r="B5" s="220"/>
      <c r="C5" s="220"/>
      <c r="D5" s="220"/>
      <c r="E5" s="220"/>
      <c r="F5" s="4"/>
      <c r="G5" s="68"/>
      <c r="H5" s="68"/>
      <c r="I5" s="68"/>
      <c r="J5" s="68"/>
      <c r="K5" s="68"/>
      <c r="L5" s="68"/>
      <c r="N5" t="str">
        <f>IFERROR('Metrics &amp; Drop Downs'!AA9,"")</f>
        <v>BTL 5 Year Fixed (UF079): Min Loan £200k</v>
      </c>
      <c r="O5" s="83">
        <f>'Metrics &amp; Drop Downs'!AB9</f>
        <v>6.2899999999999998E-2</v>
      </c>
      <c r="P5" s="87">
        <f>'Metrics &amp; Drop Downs'!AC9</f>
        <v>7.0999999999999994E-2</v>
      </c>
      <c r="Q5" s="88" t="str">
        <f>IF(N5="", "", IF(Calculations!H13=0, "", Calculations!H13))</f>
        <v/>
      </c>
    </row>
    <row r="6" spans="1:17" ht="15" hidden="1" customHeight="1" x14ac:dyDescent="0.25">
      <c r="A6" t="s">
        <v>702</v>
      </c>
      <c r="B6" s="178" t="s">
        <v>52</v>
      </c>
      <c r="C6" s="177"/>
      <c r="D6" s="177"/>
      <c r="E6" s="177"/>
      <c r="F6" s="4"/>
      <c r="G6" s="68"/>
      <c r="H6" s="68"/>
      <c r="I6" s="68"/>
      <c r="J6" s="68"/>
      <c r="K6" s="68"/>
      <c r="L6" s="68"/>
      <c r="N6" t="str">
        <f>IFERROR('Metrics &amp; Drop Downs'!AA8,"")</f>
        <v>BTL 5 Year Fixed (UF080): Min Loan £500k</v>
      </c>
      <c r="O6" s="83">
        <f>'Metrics &amp; Drop Downs'!AB8</f>
        <v>5.9900000000000002E-2</v>
      </c>
      <c r="P6" s="87">
        <f>'Metrics &amp; Drop Downs'!AC8</f>
        <v>7.0000000000000007E-2</v>
      </c>
      <c r="Q6" s="88" t="str">
        <f>IF(N6="", "", IF(Calculations!H14=0, "", Calculations!H14))</f>
        <v/>
      </c>
    </row>
    <row r="7" spans="1:17" x14ac:dyDescent="0.25">
      <c r="P7" s="87"/>
      <c r="Q7" s="88" t="str">
        <f>IF(N7="", "", IF(Calculations!H15=0, "", Calculations!H15))</f>
        <v/>
      </c>
    </row>
    <row r="8" spans="1:17" x14ac:dyDescent="0.25">
      <c r="A8" t="s">
        <v>733</v>
      </c>
      <c r="B8" s="178" t="s">
        <v>52</v>
      </c>
      <c r="P8" s="87"/>
    </row>
    <row r="9" spans="1:17" x14ac:dyDescent="0.25">
      <c r="P9" s="87"/>
    </row>
    <row r="10" spans="1:17" x14ac:dyDescent="0.25">
      <c r="A10" s="109" t="s">
        <v>15</v>
      </c>
      <c r="B10" t="s">
        <v>7</v>
      </c>
      <c r="C10" s="238" t="s">
        <v>9</v>
      </c>
      <c r="D10" s="238"/>
      <c r="E10" s="238" t="s">
        <v>10</v>
      </c>
      <c r="F10" s="238"/>
      <c r="G10" s="47" t="s">
        <v>78</v>
      </c>
      <c r="H10" s="47" t="s">
        <v>188</v>
      </c>
      <c r="I10" s="47" t="s">
        <v>189</v>
      </c>
      <c r="J10" s="47" t="s">
        <v>706</v>
      </c>
      <c r="K10" s="47" t="s">
        <v>190</v>
      </c>
      <c r="L10" s="47" t="s">
        <v>191</v>
      </c>
    </row>
    <row r="11" spans="1:17" x14ac:dyDescent="0.25">
      <c r="A11" t="s">
        <v>3</v>
      </c>
      <c r="B11" s="203"/>
      <c r="C11" s="239"/>
      <c r="D11" s="239"/>
      <c r="E11" s="239"/>
      <c r="F11" s="239"/>
      <c r="G11" s="204"/>
      <c r="H11" s="205"/>
      <c r="I11" s="205"/>
      <c r="J11" s="205"/>
      <c r="K11" s="205"/>
      <c r="L11" s="206"/>
    </row>
    <row r="12" spans="1:17" x14ac:dyDescent="0.25">
      <c r="A12" t="s">
        <v>2</v>
      </c>
      <c r="B12" s="90"/>
      <c r="C12" s="222"/>
      <c r="D12" s="222"/>
      <c r="E12" s="222"/>
      <c r="F12" s="222"/>
      <c r="G12" s="174"/>
      <c r="H12" s="175"/>
      <c r="I12" s="175"/>
      <c r="J12" s="175"/>
      <c r="K12" s="175"/>
      <c r="L12" s="176"/>
      <c r="N12" t="str">
        <f>IFERROR('Metrics &amp; Drop Downs'!AA11,"")</f>
        <v/>
      </c>
      <c r="O12" s="83" t="str">
        <f>'Metrics &amp; Drop Downs'!AB11</f>
        <v/>
      </c>
      <c r="P12" s="87" t="str">
        <f>'Metrics &amp; Drop Downs'!AC11</f>
        <v/>
      </c>
      <c r="Q12" s="88" t="str">
        <f>IF(N12="", "", IF(Calculations!H17=0, "", Calculations!H17))</f>
        <v/>
      </c>
    </row>
    <row r="13" spans="1:17" x14ac:dyDescent="0.25">
      <c r="N13" t="str">
        <f>IFERROR('Metrics &amp; Drop Downs'!AA12,"")</f>
        <v/>
      </c>
      <c r="O13" s="83" t="str">
        <f>'Metrics &amp; Drop Downs'!AB12</f>
        <v/>
      </c>
      <c r="P13" s="87" t="str">
        <f>'Metrics &amp; Drop Downs'!AC12</f>
        <v/>
      </c>
      <c r="Q13" s="88" t="str">
        <f>IF(N13="", "", IF(Calculations!H18=0, "", Calculations!H18))</f>
        <v/>
      </c>
    </row>
    <row r="14" spans="1:17" s="1" customFormat="1" ht="24" customHeight="1" x14ac:dyDescent="0.25">
      <c r="A14" s="111" t="s">
        <v>17</v>
      </c>
      <c r="B14" s="2" t="s">
        <v>45</v>
      </c>
      <c r="C14" s="2" t="s">
        <v>46</v>
      </c>
      <c r="N14" t="str">
        <f>IFERROR('Metrics &amp; Drop Downs'!AA13,"")</f>
        <v/>
      </c>
      <c r="O14" s="83" t="str">
        <f>'Metrics &amp; Drop Downs'!AB13</f>
        <v/>
      </c>
      <c r="P14" s="87" t="str">
        <f>'Metrics &amp; Drop Downs'!AC13</f>
        <v/>
      </c>
      <c r="Q14" s="88" t="str">
        <f>IF(N14="", "", IF(Calculations!H19=0, "", Calculations!H19))</f>
        <v/>
      </c>
    </row>
    <row r="15" spans="1:17" s="1" customFormat="1" x14ac:dyDescent="0.25">
      <c r="A15" t="s">
        <v>161</v>
      </c>
      <c r="B15" s="92" t="s">
        <v>52</v>
      </c>
      <c r="C15" s="93" t="s">
        <v>52</v>
      </c>
      <c r="N15" t="str">
        <f>IFERROR('Metrics &amp; Drop Downs'!AA14,"")</f>
        <v/>
      </c>
      <c r="O15" s="83" t="str">
        <f>'Metrics &amp; Drop Downs'!AB14</f>
        <v/>
      </c>
      <c r="P15" s="87" t="str">
        <f>'Metrics &amp; Drop Downs'!AC14</f>
        <v/>
      </c>
      <c r="Q15" s="88" t="str">
        <f>IF(N15="", "", IF(Calculations!H20=0, "", Calculations!H20))</f>
        <v/>
      </c>
    </row>
    <row r="16" spans="1:17" x14ac:dyDescent="0.25">
      <c r="A16" t="s">
        <v>80</v>
      </c>
      <c r="B16" s="94"/>
      <c r="C16" s="95"/>
      <c r="D16" s="89">
        <f>VLOOKUP(A16, 'Metrics &amp; Drop Downs'!$C$4:$D$8, 2, FALSE)</f>
        <v>1</v>
      </c>
      <c r="N16" t="str">
        <f>IFERROR('Metrics &amp; Drop Downs'!AA15,"")</f>
        <v/>
      </c>
      <c r="O16" s="83" t="str">
        <f>'Metrics &amp; Drop Downs'!AB15</f>
        <v/>
      </c>
      <c r="P16" s="87" t="str">
        <f>'Metrics &amp; Drop Downs'!AC15</f>
        <v/>
      </c>
      <c r="Q16" s="88" t="str">
        <f>IF(N16="", "", IF(Calculations!H21=0, "", Calculations!H21))</f>
        <v/>
      </c>
    </row>
    <row r="17" spans="1:17" x14ac:dyDescent="0.25">
      <c r="A17" t="s">
        <v>77</v>
      </c>
      <c r="B17" s="72"/>
      <c r="C17" s="73"/>
      <c r="D17" s="89">
        <f>VLOOKUP(A17, 'Metrics &amp; Drop Downs'!$C$4:$D$8, 2, FALSE)</f>
        <v>1</v>
      </c>
      <c r="N17" t="str">
        <f>IFERROR('Metrics &amp; Drop Downs'!AA16,"")</f>
        <v/>
      </c>
      <c r="O17" s="83" t="str">
        <f>'Metrics &amp; Drop Downs'!AB16</f>
        <v/>
      </c>
      <c r="P17" s="87" t="str">
        <f>'Metrics &amp; Drop Downs'!AC16</f>
        <v/>
      </c>
      <c r="Q17" s="88" t="str">
        <f>IF(N17="", "", IF(Calculations!H22=0, "", Calculations!H22))</f>
        <v/>
      </c>
    </row>
    <row r="18" spans="1:17" x14ac:dyDescent="0.25">
      <c r="A18" t="s">
        <v>43</v>
      </c>
      <c r="B18" s="74"/>
      <c r="C18" s="75"/>
      <c r="D18" s="89">
        <f>VLOOKUP(A18, 'Metrics &amp; Drop Downs'!$C$4:$D$8, 2, FALSE)</f>
        <v>0.5</v>
      </c>
      <c r="N18" t="str">
        <f>IFERROR('Metrics &amp; Drop Downs'!AA17,"")</f>
        <v/>
      </c>
      <c r="O18" s="83" t="str">
        <f>'Metrics &amp; Drop Downs'!AB17</f>
        <v/>
      </c>
      <c r="P18" s="87" t="str">
        <f>'Metrics &amp; Drop Downs'!AC17</f>
        <v/>
      </c>
      <c r="Q18" s="88" t="str">
        <f>IF(N18="", "", IF(Calculations!H23=0, "", Calculations!H23))</f>
        <v/>
      </c>
    </row>
    <row r="19" spans="1:17" x14ac:dyDescent="0.25">
      <c r="A19" t="s">
        <v>13</v>
      </c>
      <c r="B19" s="32">
        <f>Input!B14*'Metrics &amp; Drop Downs'!$D4+Input!B15*'Metrics &amp; Drop Downs'!$D5+Input!B16*'Metrics &amp; Drop Downs'!$D6+Input!B17*'Metrics &amp; Drop Downs'!$D7+Input!B18*'Metrics &amp; Drop Downs'!$D8</f>
        <v>0</v>
      </c>
      <c r="C19" s="32">
        <f>Input!E14*'Metrics &amp; Drop Downs'!$D4+Input!E15*'Metrics &amp; Drop Downs'!$D5+Input!E16*'Metrics &amp; Drop Downs'!$D6+Input!E17*'Metrics &amp; Drop Downs'!$D7+Input!E18*'Metrics &amp; Drop Downs'!$D8</f>
        <v>0</v>
      </c>
      <c r="D19" s="32">
        <f>B19+C19</f>
        <v>0</v>
      </c>
      <c r="N19" t="str">
        <f>IFERROR('Metrics &amp; Drop Downs'!AA18,"")</f>
        <v/>
      </c>
      <c r="O19" s="83" t="str">
        <f>'Metrics &amp; Drop Downs'!AB18</f>
        <v/>
      </c>
      <c r="P19" s="87" t="str">
        <f>'Metrics &amp; Drop Downs'!AC18</f>
        <v/>
      </c>
      <c r="Q19" s="88" t="str">
        <f>IF(N19="", "", IF(Calculations!H24=0, "", Calculations!H24))</f>
        <v/>
      </c>
    </row>
    <row r="20" spans="1:17" x14ac:dyDescent="0.25">
      <c r="B20" s="3"/>
      <c r="C20" s="3"/>
      <c r="D20" s="3"/>
      <c r="N20" t="str">
        <f>IFERROR('Metrics &amp; Drop Downs'!AA20,"")</f>
        <v/>
      </c>
      <c r="O20" s="83" t="str">
        <f>'Metrics &amp; Drop Downs'!AB20</f>
        <v/>
      </c>
      <c r="P20" s="87" t="str">
        <f>'Metrics &amp; Drop Downs'!AC20</f>
        <v/>
      </c>
      <c r="Q20" s="88" t="str">
        <f>IF(N20="", "", IF(Calculations!H25=0, "", Calculations!H25))</f>
        <v/>
      </c>
    </row>
    <row r="21" spans="1:17" x14ac:dyDescent="0.25">
      <c r="A21" s="109" t="s">
        <v>16</v>
      </c>
      <c r="F21" s="47"/>
      <c r="G21" s="47"/>
      <c r="H21" s="47"/>
      <c r="I21" s="47"/>
      <c r="J21" s="47"/>
      <c r="K21" s="47"/>
      <c r="L21" s="47"/>
      <c r="N21" t="str">
        <f>IFERROR('Metrics &amp; Drop Downs'!AA19,"")</f>
        <v/>
      </c>
      <c r="O21" s="83" t="str">
        <f>'Metrics &amp; Drop Downs'!AB19</f>
        <v/>
      </c>
      <c r="P21" s="87" t="str">
        <f>'Metrics &amp; Drop Downs'!AC19</f>
        <v/>
      </c>
      <c r="Q21" s="88" t="str">
        <f>IF(N21="", "", IF(Calculations!H26=0, "", Calculations!H26))</f>
        <v/>
      </c>
    </row>
    <row r="22" spans="1:17" x14ac:dyDescent="0.25">
      <c r="A22" t="s">
        <v>18</v>
      </c>
      <c r="B22" s="76"/>
      <c r="C22" s="4" t="s">
        <v>67</v>
      </c>
      <c r="D22" s="77" t="s">
        <v>51</v>
      </c>
      <c r="E22" s="4" t="s">
        <v>185</v>
      </c>
      <c r="F22" s="76"/>
      <c r="G22" s="80"/>
      <c r="H22" s="80"/>
      <c r="I22" s="80"/>
      <c r="J22" s="80"/>
      <c r="K22" s="80"/>
      <c r="L22" s="80"/>
      <c r="N22" t="str">
        <f>IFERROR('Metrics &amp; Drop Downs'!AA23,"")</f>
        <v/>
      </c>
      <c r="O22" s="83" t="str">
        <f>'Metrics &amp; Drop Downs'!AB23</f>
        <v/>
      </c>
      <c r="P22" s="87" t="str">
        <f>'Metrics &amp; Drop Downs'!AC23</f>
        <v/>
      </c>
      <c r="Q22" s="88" t="str">
        <f>IF(N22="", "", IF(Calculations!H27=0, "", Calculations!H27))</f>
        <v/>
      </c>
    </row>
    <row r="23" spans="1:17" x14ac:dyDescent="0.25">
      <c r="N23" t="str">
        <f>IFERROR('Metrics &amp; Drop Downs'!AA22,"")</f>
        <v/>
      </c>
      <c r="O23" s="83" t="str">
        <f>'Metrics &amp; Drop Downs'!AB22</f>
        <v/>
      </c>
      <c r="P23" s="87" t="str">
        <f>'Metrics &amp; Drop Downs'!AC22</f>
        <v/>
      </c>
      <c r="Q23" s="88" t="str">
        <f>IF(N23="", "", IF(Calculations!H28=0, "", Calculations!H28))</f>
        <v/>
      </c>
    </row>
    <row r="24" spans="1:17" x14ac:dyDescent="0.25">
      <c r="A24" s="109" t="s">
        <v>21</v>
      </c>
      <c r="N24" t="str">
        <f>IFERROR('Metrics &amp; Drop Downs'!AA21,"")</f>
        <v/>
      </c>
      <c r="O24" s="83" t="str">
        <f>'Metrics &amp; Drop Downs'!AB21</f>
        <v/>
      </c>
      <c r="P24" s="87" t="str">
        <f>'Metrics &amp; Drop Downs'!AC21</f>
        <v/>
      </c>
      <c r="Q24" s="88" t="str">
        <f>IF(N24="", "", IF(Calculations!H29=0, "", Calculations!H29))</f>
        <v/>
      </c>
    </row>
    <row r="25" spans="1:17" x14ac:dyDescent="0.25">
      <c r="A25" t="s">
        <v>23</v>
      </c>
      <c r="B25" s="78"/>
      <c r="D25" s="223" t="s">
        <v>732</v>
      </c>
      <c r="E25" s="224"/>
      <c r="F25" s="30" t="s">
        <v>19</v>
      </c>
      <c r="G25" s="31" t="e">
        <f>Amount_Requested/Property_Value</f>
        <v>#DIV/0!</v>
      </c>
      <c r="H25" s="31"/>
      <c r="I25" s="31"/>
      <c r="J25" s="31"/>
      <c r="K25" s="31"/>
      <c r="L25" s="31"/>
      <c r="N25" t="str">
        <f>IFERROR('Metrics &amp; Drop Downs'!AA24,"")</f>
        <v/>
      </c>
      <c r="O25" s="83" t="str">
        <f>'Metrics &amp; Drop Downs'!AB24</f>
        <v/>
      </c>
      <c r="P25" s="87" t="str">
        <f>'Metrics &amp; Drop Downs'!AC24</f>
        <v/>
      </c>
      <c r="Q25" s="88" t="str">
        <f>IF(N25="", "", IF(Calculations!H30=0, "", Calculations!H30))</f>
        <v/>
      </c>
    </row>
    <row r="26" spans="1:17" x14ac:dyDescent="0.25">
      <c r="A26" t="s">
        <v>26</v>
      </c>
      <c r="B26" s="79"/>
      <c r="E26" s="29"/>
      <c r="F26" s="30" t="s">
        <v>159</v>
      </c>
      <c r="G26" s="29">
        <f>IF(Calculations!A47="Declined", 0, MIN(Max_Joint_Age-MAX(First_App_Age,Second_App_Age)-1, Product_Term, MAX(Refer_Age-1-First_App_Age, IF(SUM(Input!E14:E18)=0, Refer_Age-1-First_App_Age, Refer_Age-1-Second_App_Age))))</f>
        <v>0</v>
      </c>
      <c r="H26" s="29"/>
      <c r="I26" s="29"/>
      <c r="J26" s="29"/>
      <c r="K26" s="29"/>
      <c r="L26" s="29"/>
      <c r="N26" t="str">
        <f>IFERROR('Metrics &amp; Drop Downs'!AA25,"")</f>
        <v/>
      </c>
      <c r="O26" s="83" t="str">
        <f>'Metrics &amp; Drop Downs'!AB25</f>
        <v/>
      </c>
      <c r="P26" s="87" t="str">
        <f>'Metrics &amp; Drop Downs'!AC25</f>
        <v/>
      </c>
      <c r="Q26" s="88" t="str">
        <f>IF(N26="", "", IF(Calculations!H31=0, "", Calculations!H31))</f>
        <v/>
      </c>
    </row>
    <row r="27" spans="1:17" x14ac:dyDescent="0.25">
      <c r="B27" s="35"/>
      <c r="N27" t="str">
        <f>IFERROR('Metrics &amp; Drop Downs'!AA26,"")</f>
        <v/>
      </c>
      <c r="O27" s="83" t="str">
        <f>'Metrics &amp; Drop Downs'!AB26</f>
        <v/>
      </c>
      <c r="P27" s="87" t="str">
        <f>'Metrics &amp; Drop Downs'!AC26</f>
        <v/>
      </c>
      <c r="Q27" s="88" t="str">
        <f>IF(N27="", "", IF(Calculations!H32=0, "", Calculations!H32))</f>
        <v/>
      </c>
    </row>
    <row r="28" spans="1:17" s="24" customFormat="1" ht="21" x14ac:dyDescent="0.25">
      <c r="A28" s="110" t="s">
        <v>44</v>
      </c>
      <c r="B28" s="45" t="str">
        <f>Calculations!A57</f>
        <v>Declined</v>
      </c>
      <c r="C28" s="33" t="str">
        <f>IF(B28&lt;&gt;"AIP","  Due to "&amp;VLOOKUP(B28,Calculations!A41:B57,2,FALSE ), "")</f>
        <v xml:space="preserve">  Due to Minimum Mortgage Value</v>
      </c>
      <c r="N28" t="str">
        <f>IFERROR('Metrics &amp; Drop Downs'!AA27,"")</f>
        <v/>
      </c>
      <c r="O28" s="83" t="str">
        <f>'Metrics &amp; Drop Downs'!AB27</f>
        <v/>
      </c>
      <c r="P28" s="87" t="str">
        <f>'Metrics &amp; Drop Downs'!AC27</f>
        <v/>
      </c>
      <c r="Q28" s="88" t="str">
        <f>IF(N28="", "", IF(Calculations!H33=0, "", Calculations!H33))</f>
        <v/>
      </c>
    </row>
    <row r="29" spans="1:17" x14ac:dyDescent="0.25">
      <c r="B29" s="29"/>
      <c r="N29" t="str">
        <f>IFERROR('Metrics &amp; Drop Downs'!AA28,"")</f>
        <v/>
      </c>
      <c r="O29" s="83" t="str">
        <f>'Metrics &amp; Drop Downs'!AB28</f>
        <v/>
      </c>
      <c r="P29" s="87" t="str">
        <f>'Metrics &amp; Drop Downs'!AC28</f>
        <v/>
      </c>
      <c r="Q29" s="88" t="str">
        <f>IF(N29="", "", IF(Calculations!H34=0, "", Calculations!H34))</f>
        <v/>
      </c>
    </row>
    <row r="30" spans="1:17" x14ac:dyDescent="0.25">
      <c r="A30" t="s">
        <v>36</v>
      </c>
      <c r="B30" s="32">
        <f>Max_Loan_Available</f>
        <v>0</v>
      </c>
      <c r="F30" s="32"/>
      <c r="N30" t="str">
        <f>IFERROR('Metrics &amp; Drop Downs'!AA29,"")</f>
        <v/>
      </c>
      <c r="O30" s="83" t="str">
        <f>'Metrics &amp; Drop Downs'!AB29</f>
        <v/>
      </c>
      <c r="P30" s="87" t="str">
        <f>'Metrics &amp; Drop Downs'!AC29</f>
        <v/>
      </c>
      <c r="Q30" s="88" t="str">
        <f>IF(N30="", "", IF(Calculations!H35=0, "", Calculations!H35))</f>
        <v/>
      </c>
    </row>
    <row r="31" spans="1:17" x14ac:dyDescent="0.25">
      <c r="N31" t="str">
        <f>IFERROR('Metrics &amp; Drop Downs'!AA30,"")</f>
        <v/>
      </c>
      <c r="O31" s="83" t="str">
        <f>'Metrics &amp; Drop Downs'!AB30</f>
        <v/>
      </c>
      <c r="P31" s="87" t="str">
        <f>'Metrics &amp; Drop Downs'!AC30</f>
        <v/>
      </c>
      <c r="Q31" s="88" t="str">
        <f>IF(N31="", "", IF(Calculations!H36=0, "", Calculations!H36))</f>
        <v/>
      </c>
    </row>
    <row r="32" spans="1:17" x14ac:dyDescent="0.25">
      <c r="A32" s="109" t="s">
        <v>148</v>
      </c>
      <c r="N32" t="str">
        <f>IFERROR('Metrics &amp; Drop Downs'!AA31,"")</f>
        <v/>
      </c>
      <c r="O32" s="83" t="str">
        <f>'Metrics &amp; Drop Downs'!AB31</f>
        <v/>
      </c>
      <c r="P32" s="87" t="str">
        <f>'Metrics &amp; Drop Downs'!AC31</f>
        <v/>
      </c>
      <c r="Q32" s="88" t="str">
        <f>IF(N32="", "", IF(Calculations!H37=0, "", Calculations!H37))</f>
        <v/>
      </c>
    </row>
    <row r="33" spans="1:17" x14ac:dyDescent="0.25">
      <c r="A33" s="5" t="s">
        <v>22</v>
      </c>
      <c r="B33" s="36" t="s">
        <v>27</v>
      </c>
      <c r="C33" s="36" t="s">
        <v>79</v>
      </c>
      <c r="D33" s="36" t="s">
        <v>162</v>
      </c>
      <c r="E33" s="225" t="s">
        <v>150</v>
      </c>
      <c r="F33" s="225"/>
      <c r="G33" s="226"/>
      <c r="H33" s="47"/>
      <c r="I33" s="47"/>
      <c r="J33" s="47"/>
      <c r="K33" s="47"/>
      <c r="L33" s="47"/>
      <c r="N33" t="str">
        <f>IFERROR('Metrics &amp; Drop Downs'!AA32,"")</f>
        <v/>
      </c>
      <c r="O33" s="83" t="str">
        <f>'Metrics &amp; Drop Downs'!AB32</f>
        <v/>
      </c>
      <c r="P33" s="87" t="str">
        <f>'Metrics &amp; Drop Downs'!AC32</f>
        <v/>
      </c>
      <c r="Q33" s="88" t="str">
        <f>IF(N33="", "", IF(Calculations!H38=0, "", Calculations!H38))</f>
        <v/>
      </c>
    </row>
    <row r="34" spans="1:17" x14ac:dyDescent="0.25">
      <c r="A34" s="8"/>
      <c r="D34" s="47" t="s">
        <v>149</v>
      </c>
      <c r="E34" s="4" t="s">
        <v>153</v>
      </c>
      <c r="F34" s="227" t="s">
        <v>152</v>
      </c>
      <c r="G34" s="228"/>
      <c r="H34" s="47"/>
      <c r="I34" s="47"/>
      <c r="J34" s="47"/>
      <c r="K34" s="47"/>
      <c r="L34" s="47"/>
      <c r="N34" t="str">
        <f>IFERROR('Metrics &amp; Drop Downs'!AA33,"")</f>
        <v/>
      </c>
      <c r="O34" s="83" t="str">
        <f>'Metrics &amp; Drop Downs'!AB33</f>
        <v/>
      </c>
      <c r="P34" s="87" t="str">
        <f>'Metrics &amp; Drop Downs'!AC33</f>
        <v/>
      </c>
      <c r="Q34" s="88" t="str">
        <f>IF(N34="", "", IF(Calculations!H39=0, "", Calculations!H39))</f>
        <v/>
      </c>
    </row>
    <row r="35" spans="1:17" x14ac:dyDescent="0.25">
      <c r="A35" s="8" t="str">
        <f>IF(Amount_Requested=0, "", 'Metrics &amp; Drop Downs'!AM4)</f>
        <v/>
      </c>
      <c r="B35" s="126" t="str">
        <f>IF(Amount_Requested=0, "", 'Metrics &amp; Drop Downs'!AN4)</f>
        <v/>
      </c>
      <c r="C35" s="127" t="str">
        <f>IF(Amount_Requested=0, "", 'Metrics &amp; Drop Downs'!AO4)</f>
        <v/>
      </c>
      <c r="D35" s="48" t="str">
        <f>IF(Amount_Requested=0, "", 'Metrics &amp; Drop Downs'!AP4)</f>
        <v/>
      </c>
      <c r="E35" s="48" t="str">
        <f>'Metrics &amp; Drop Downs'!AQ4</f>
        <v/>
      </c>
      <c r="F35" s="229" t="str">
        <f>'Metrics &amp; Drop Downs'!AR4</f>
        <v/>
      </c>
      <c r="G35" s="228"/>
      <c r="H35" s="47"/>
      <c r="I35" s="47"/>
      <c r="J35" s="47"/>
      <c r="K35" s="47"/>
      <c r="L35" s="47"/>
      <c r="N35" t="str">
        <f>IFERROR('Metrics &amp; Drop Downs'!AA34,"")</f>
        <v/>
      </c>
      <c r="O35" s="83" t="str">
        <f>'Metrics &amp; Drop Downs'!AB34</f>
        <v/>
      </c>
      <c r="P35" s="87" t="str">
        <f>'Metrics &amp; Drop Downs'!AC34</f>
        <v/>
      </c>
      <c r="Q35" s="88" t="str">
        <f>IF(N35="", "", IF(Calculations!H40=0, "", Calculations!H40))</f>
        <v/>
      </c>
    </row>
    <row r="36" spans="1:17" x14ac:dyDescent="0.25">
      <c r="A36" s="8" t="str">
        <f>IF(Amount_Requested=0, "", 'Metrics &amp; Drop Downs'!AM5)</f>
        <v/>
      </c>
      <c r="B36" s="126" t="str">
        <f>IF(Amount_Requested=0, "", 'Metrics &amp; Drop Downs'!AN5)</f>
        <v/>
      </c>
      <c r="C36" s="127" t="str">
        <f>IF(Amount_Requested=0, "", 'Metrics &amp; Drop Downs'!AO5)</f>
        <v/>
      </c>
      <c r="D36" s="48" t="str">
        <f>IF(Amount_Requested=0, "", 'Metrics &amp; Drop Downs'!AP5)</f>
        <v/>
      </c>
      <c r="E36" s="48" t="str">
        <f>'Metrics &amp; Drop Downs'!AQ5</f>
        <v/>
      </c>
      <c r="F36" s="229" t="str">
        <f>'Metrics &amp; Drop Downs'!AR5</f>
        <v/>
      </c>
      <c r="G36" s="228"/>
      <c r="H36" s="47"/>
      <c r="I36" s="47"/>
      <c r="J36" s="47"/>
      <c r="K36" s="47"/>
      <c r="L36" s="47"/>
      <c r="O36" s="83" t="str">
        <f>'Metrics &amp; Drop Downs'!AB35</f>
        <v/>
      </c>
      <c r="P36" s="87" t="str">
        <f>'Metrics &amp; Drop Downs'!AC35</f>
        <v/>
      </c>
      <c r="Q36" s="88" t="str">
        <f>IF(N36="", "", IF(Calculations!H41=0, "", Calculations!H41))</f>
        <v/>
      </c>
    </row>
    <row r="37" spans="1:17" x14ac:dyDescent="0.25">
      <c r="A37" s="8" t="str">
        <f>IF(Amount_Requested=0, "", 'Metrics &amp; Drop Downs'!AM6)</f>
        <v/>
      </c>
      <c r="B37" s="126" t="str">
        <f>IF(Amount_Requested=0, "", 'Metrics &amp; Drop Downs'!AN6)</f>
        <v/>
      </c>
      <c r="C37" s="127" t="str">
        <f>IF(Amount_Requested=0, "", 'Metrics &amp; Drop Downs'!AO6)</f>
        <v/>
      </c>
      <c r="D37" s="48" t="str">
        <f>IF(Amount_Requested=0, "", 'Metrics &amp; Drop Downs'!AP6)</f>
        <v/>
      </c>
      <c r="E37" s="48" t="str">
        <f>'Metrics &amp; Drop Downs'!AQ6</f>
        <v/>
      </c>
      <c r="F37" s="229" t="str">
        <f>'Metrics &amp; Drop Downs'!AR6</f>
        <v/>
      </c>
      <c r="G37" s="228"/>
      <c r="H37" s="47"/>
      <c r="I37" s="47"/>
      <c r="J37" s="47"/>
      <c r="K37" s="47"/>
      <c r="L37" s="47"/>
      <c r="P37" s="87"/>
    </row>
    <row r="38" spans="1:17" x14ac:dyDescent="0.25">
      <c r="A38" s="8" t="str">
        <f>IF(Amount_Requested=0, "", 'Metrics &amp; Drop Downs'!AM7)</f>
        <v/>
      </c>
      <c r="B38" s="126" t="str">
        <f>IF(Amount_Requested=0, "", 'Metrics &amp; Drop Downs'!AN7)</f>
        <v/>
      </c>
      <c r="C38" s="127" t="str">
        <f>IF(Amount_Requested=0, "", 'Metrics &amp; Drop Downs'!AO7)</f>
        <v/>
      </c>
      <c r="D38" s="48" t="str">
        <f>IF(Amount_Requested=0, "", 'Metrics &amp; Drop Downs'!AP7)</f>
        <v/>
      </c>
      <c r="E38" s="48" t="str">
        <f>'Metrics &amp; Drop Downs'!AQ7</f>
        <v/>
      </c>
      <c r="F38" s="229" t="str">
        <f>'Metrics &amp; Drop Downs'!AR7</f>
        <v/>
      </c>
      <c r="G38" s="228"/>
      <c r="H38" s="47"/>
      <c r="I38" s="47"/>
      <c r="J38" s="47"/>
      <c r="K38" s="47"/>
      <c r="L38" s="47"/>
      <c r="P38" s="87"/>
    </row>
    <row r="39" spans="1:17" x14ac:dyDescent="0.25">
      <c r="A39" s="8" t="str">
        <f>IF(Amount_Requested=0, "", 'Metrics &amp; Drop Downs'!AM8)</f>
        <v/>
      </c>
      <c r="B39" s="126" t="str">
        <f>IF(Amount_Requested=0, "", 'Metrics &amp; Drop Downs'!AN8)</f>
        <v/>
      </c>
      <c r="C39" s="127" t="str">
        <f>IF(Amount_Requested=0, "", 'Metrics &amp; Drop Downs'!AO8)</f>
        <v/>
      </c>
      <c r="D39" s="48" t="str">
        <f>IF(Amount_Requested=0, "", 'Metrics &amp; Drop Downs'!AP8)</f>
        <v/>
      </c>
      <c r="E39" s="48" t="str">
        <f>'Metrics &amp; Drop Downs'!AQ8</f>
        <v/>
      </c>
      <c r="F39" s="229" t="str">
        <f>'Metrics &amp; Drop Downs'!AR8</f>
        <v/>
      </c>
      <c r="G39" s="228"/>
      <c r="H39" s="47"/>
      <c r="I39" s="47"/>
      <c r="J39" s="47"/>
      <c r="K39" s="47"/>
      <c r="L39" s="47"/>
      <c r="P39" s="87"/>
    </row>
    <row r="40" spans="1:17" x14ac:dyDescent="0.25">
      <c r="A40" s="10" t="str">
        <f>IF(Amount_Requested=0, "", 'Metrics &amp; Drop Downs'!AM9)</f>
        <v/>
      </c>
      <c r="B40" s="128" t="str">
        <f>IF(Amount_Requested=0, "", 'Metrics &amp; Drop Downs'!AN9)</f>
        <v/>
      </c>
      <c r="C40" s="129" t="str">
        <f>IF(Amount_Requested=0, "", 'Metrics &amp; Drop Downs'!AO9)</f>
        <v/>
      </c>
      <c r="D40" s="130" t="str">
        <f>IF(Amount_Requested=0, "", 'Metrics &amp; Drop Downs'!AP9)</f>
        <v/>
      </c>
      <c r="E40" s="130" t="str">
        <f>'Metrics &amp; Drop Downs'!AQ9</f>
        <v/>
      </c>
      <c r="F40" s="230" t="str">
        <f>'Metrics &amp; Drop Downs'!AR9</f>
        <v/>
      </c>
      <c r="G40" s="231"/>
      <c r="H40" s="47"/>
      <c r="I40" s="47"/>
      <c r="J40" s="47"/>
      <c r="K40" s="47"/>
      <c r="L40" s="47"/>
      <c r="P40" s="87"/>
    </row>
    <row r="41" spans="1:17" x14ac:dyDescent="0.25">
      <c r="A41" s="221" t="s">
        <v>151</v>
      </c>
      <c r="B41" s="221"/>
      <c r="C41" s="221"/>
      <c r="D41" s="221"/>
      <c r="E41" s="221"/>
      <c r="F41" s="221"/>
      <c r="G41" s="221"/>
      <c r="H41" s="46"/>
      <c r="I41" s="46"/>
      <c r="J41" s="46"/>
      <c r="K41" s="46"/>
      <c r="L41" s="46"/>
      <c r="P41" s="87"/>
    </row>
    <row r="42" spans="1:17" x14ac:dyDescent="0.25">
      <c r="P42" s="87"/>
    </row>
    <row r="43" spans="1:17" x14ac:dyDescent="0.25">
      <c r="P43" s="87"/>
    </row>
    <row r="44" spans="1:17" x14ac:dyDescent="0.25">
      <c r="P44" s="87"/>
    </row>
    <row r="45" spans="1:17" x14ac:dyDescent="0.25">
      <c r="P45" s="87"/>
    </row>
  </sheetData>
  <sheetProtection algorithmName="SHA-512" hashValue="CujHnmdM5+IXGkEvtTAG9fKsvTEqwTZMnyu/TPZSl440Qhfz8RfhrUynrdRVamGFp/IL+qojRaOXijEmyPw1dg==" saltValue="cwtiQAYeLVBXM72i4WDI3w==" spinCount="100000" sheet="1" selectLockedCells="1"/>
  <mergeCells count="18">
    <mergeCell ref="B3:E3"/>
    <mergeCell ref="B4:E4"/>
    <mergeCell ref="C10:D10"/>
    <mergeCell ref="E10:F10"/>
    <mergeCell ref="C11:D11"/>
    <mergeCell ref="E11:F11"/>
    <mergeCell ref="A41:G41"/>
    <mergeCell ref="C12:D12"/>
    <mergeCell ref="E12:F12"/>
    <mergeCell ref="D25:E25"/>
    <mergeCell ref="E33:G33"/>
    <mergeCell ref="F34:G34"/>
    <mergeCell ref="F35:G35"/>
    <mergeCell ref="F36:G36"/>
    <mergeCell ref="F37:G37"/>
    <mergeCell ref="F38:G38"/>
    <mergeCell ref="F39:G39"/>
    <mergeCell ref="F40:G40"/>
  </mergeCells>
  <conditionalFormatting sqref="B28">
    <cfRule type="cellIs" dxfId="8" priority="1" operator="equal">
      <formula>"AIP"</formula>
    </cfRule>
    <cfRule type="cellIs" dxfId="7" priority="2" operator="equal">
      <formula>"Refer"</formula>
    </cfRule>
    <cfRule type="cellIs" dxfId="6" priority="3" operator="equal">
      <formula>"Declined"</formula>
    </cfRule>
  </conditionalFormatting>
  <dataValidations count="6">
    <dataValidation type="list" allowBlank="1" showInputMessage="1" showErrorMessage="1" sqref="D25:E25" xr:uid="{00000000-0002-0000-0000-000000000000}">
      <formula1>"Purchase, Remortgage"</formula1>
    </dataValidation>
    <dataValidation type="list" allowBlank="1" showInputMessage="1" showErrorMessage="1" sqref="B11:B12" xr:uid="{00000000-0002-0000-0000-000001000000}">
      <formula1>Title</formula1>
    </dataValidation>
    <dataValidation type="list" showInputMessage="1" showErrorMessage="1" sqref="B15:C15" xr:uid="{00000000-0002-0000-0000-000002000000}">
      <formula1>"No, Yes"</formula1>
    </dataValidation>
    <dataValidation type="list" allowBlank="1" showInputMessage="1" showErrorMessage="1" sqref="D22" xr:uid="{00000000-0002-0000-0000-000003000000}">
      <formula1>"No, Yes"</formula1>
    </dataValidation>
    <dataValidation type="whole" allowBlank="1" showErrorMessage="1" errorTitle="Requested Term exceeds Maximum" promptTitle="Requested Term" prompt="Please input a term equal to or below the Max Term" sqref="B26" xr:uid="{00000000-0002-0000-0000-000004000000}">
      <formula1>0</formula1>
      <formula2>G26</formula2>
    </dataValidation>
    <dataValidation type="list" allowBlank="1" showInputMessage="1" showErrorMessage="1" sqref="B6 L11:L12 B8" xr:uid="{A1796AC1-A880-48DE-9D8B-DAB3C7DEB062}">
      <formula1>"Yes, No"</formula1>
    </dataValidation>
  </dataValidations>
  <printOptions horizontalCentered="1" verticalCentered="1"/>
  <pageMargins left="0.70866141732283472" right="0.51181102362204722" top="0.74803149606299213" bottom="0.74803149606299213" header="0.31496062992125984" footer="0.31496062992125984"/>
  <pageSetup paperSize="9" scale="38"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44E5C45-D218-460B-BE1A-4B1248C7C7F4}">
          <x14:formula1>
            <xm:f>'Risk Ratings'!$J$2:$J$11</xm:f>
          </x14:formula1>
          <xm:sqref>K11:K12</xm:sqref>
        </x14:dataValidation>
        <x14:dataValidation type="list" allowBlank="1" showInputMessage="1" showErrorMessage="1" xr:uid="{22B2D109-5B8A-441D-896D-76A7345A4851}">
          <x14:formula1>
            <xm:f>'Risk Ratings'!$A$2:$A$499</xm:f>
          </x14:formula1>
          <xm:sqref>H12</xm:sqref>
        </x14:dataValidation>
        <x14:dataValidation type="list" allowBlank="1" showInputMessage="1" showErrorMessage="1" xr:uid="{912BF9A6-6D6D-4AB0-B897-2C17037CB8FF}">
          <x14:formula1>
            <xm:f>'Risk Ratings'!$B$2:$B$499</xm:f>
          </x14:formula1>
          <xm:sqref>I11:J12</xm:sqref>
        </x14:dataValidation>
        <x14:dataValidation type="list" allowBlank="1" showInputMessage="1" showErrorMessage="1" xr:uid="{9FEBC0CF-D1C7-4948-8294-4EC6B35DD8CC}">
          <x14:formula1>
            <xm:f>'Risk Ratings'!$A$2:$A$498</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topLeftCell="B1" workbookViewId="0">
      <selection activeCell="C14" sqref="C14"/>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51"/>
  <sheetViews>
    <sheetView workbookViewId="0">
      <selection activeCell="C14" sqref="C14"/>
    </sheetView>
  </sheetViews>
  <sheetFormatPr defaultRowHeight="15" x14ac:dyDescent="0.25"/>
  <cols>
    <col min="1" max="1" width="32.5703125" customWidth="1"/>
    <col min="2" max="2" width="21.42578125" style="4" customWidth="1"/>
    <col min="3" max="3" width="3.42578125" customWidth="1"/>
    <col min="4" max="4" width="34.42578125" customWidth="1"/>
    <col min="5" max="5" width="10.5703125" style="4" bestFit="1" customWidth="1"/>
  </cols>
  <sheetData>
    <row r="1" spans="1:5" x14ac:dyDescent="0.25">
      <c r="A1" t="s">
        <v>89</v>
      </c>
      <c r="B1" s="4" t="s">
        <v>90</v>
      </c>
    </row>
    <row r="3" spans="1:5" x14ac:dyDescent="0.25">
      <c r="A3" t="s">
        <v>91</v>
      </c>
    </row>
    <row r="5" spans="1:5" x14ac:dyDescent="0.25">
      <c r="A5" t="s">
        <v>92</v>
      </c>
      <c r="B5" s="4">
        <f>'AIP Indicator'!B3:E3</f>
        <v>0</v>
      </c>
    </row>
    <row r="6" spans="1:5" x14ac:dyDescent="0.25">
      <c r="A6" t="s">
        <v>93</v>
      </c>
      <c r="B6" s="4">
        <f>'AIP Indicator'!B4:E4</f>
        <v>0</v>
      </c>
    </row>
    <row r="7" spans="1:5" x14ac:dyDescent="0.25">
      <c r="A7" t="s">
        <v>94</v>
      </c>
      <c r="B7" s="96">
        <f>'AIP Indicator'!G3</f>
        <v>0</v>
      </c>
    </row>
    <row r="9" spans="1:5" x14ac:dyDescent="0.25">
      <c r="A9" t="s">
        <v>95</v>
      </c>
      <c r="B9" s="4">
        <f>'AIP Indicator'!B11</f>
        <v>0</v>
      </c>
      <c r="D9" t="s">
        <v>96</v>
      </c>
      <c r="E9" s="4">
        <f>'AIP Indicator'!B12</f>
        <v>0</v>
      </c>
    </row>
    <row r="10" spans="1:5" x14ac:dyDescent="0.25">
      <c r="A10" t="s">
        <v>97</v>
      </c>
      <c r="B10" s="4">
        <f>'AIP Indicator'!C11</f>
        <v>0</v>
      </c>
      <c r="D10" t="s">
        <v>98</v>
      </c>
      <c r="E10" s="4" t="e">
        <f>'AIP Indicator'!#REF!</f>
        <v>#REF!</v>
      </c>
    </row>
    <row r="11" spans="1:5" x14ac:dyDescent="0.25">
      <c r="A11" t="s">
        <v>99</v>
      </c>
      <c r="B11" s="4">
        <f>'AIP Indicator'!E11</f>
        <v>0</v>
      </c>
      <c r="D11" t="s">
        <v>100</v>
      </c>
      <c r="E11" s="4">
        <f>'AIP Indicator'!E12</f>
        <v>0</v>
      </c>
    </row>
    <row r="12" spans="1:5" x14ac:dyDescent="0.25">
      <c r="A12" t="s">
        <v>155</v>
      </c>
      <c r="B12" s="113">
        <f>'AIP Indicator'!G11</f>
        <v>0</v>
      </c>
      <c r="D12" t="s">
        <v>156</v>
      </c>
      <c r="E12" s="113">
        <f>'AIP Indicator'!G12</f>
        <v>0</v>
      </c>
    </row>
    <row r="13" spans="1:5" x14ac:dyDescent="0.25">
      <c r="A13" t="s">
        <v>101</v>
      </c>
      <c r="B13" s="4" t="str">
        <f>'AIP Indicator'!B15</f>
        <v>No</v>
      </c>
      <c r="D13" t="s">
        <v>102</v>
      </c>
      <c r="E13" s="4" t="str">
        <f>'AIP Indicator'!C15</f>
        <v>No</v>
      </c>
    </row>
    <row r="14" spans="1:5" x14ac:dyDescent="0.25">
      <c r="A14" t="s">
        <v>103</v>
      </c>
      <c r="B14" s="4">
        <f>'AIP Indicator'!B16</f>
        <v>0</v>
      </c>
      <c r="D14" t="s">
        <v>104</v>
      </c>
      <c r="E14" s="4">
        <f>'AIP Indicator'!C16</f>
        <v>0</v>
      </c>
    </row>
    <row r="15" spans="1:5" x14ac:dyDescent="0.25">
      <c r="A15" t="s">
        <v>105</v>
      </c>
      <c r="D15" t="s">
        <v>106</v>
      </c>
    </row>
    <row r="16" spans="1:5" x14ac:dyDescent="0.25">
      <c r="A16" t="s">
        <v>107</v>
      </c>
      <c r="D16" t="s">
        <v>108</v>
      </c>
    </row>
    <row r="17" spans="1:5" x14ac:dyDescent="0.25">
      <c r="A17" t="s">
        <v>109</v>
      </c>
      <c r="B17" s="4">
        <f>'AIP Indicator'!B17</f>
        <v>0</v>
      </c>
      <c r="D17" t="s">
        <v>110</v>
      </c>
      <c r="E17" s="4">
        <f>'AIP Indicator'!C17</f>
        <v>0</v>
      </c>
    </row>
    <row r="18" spans="1:5" x14ac:dyDescent="0.25">
      <c r="A18" t="s">
        <v>111</v>
      </c>
      <c r="B18" s="4">
        <f>'AIP Indicator'!B18</f>
        <v>0</v>
      </c>
      <c r="D18" t="s">
        <v>112</v>
      </c>
      <c r="E18" s="4">
        <f>'AIP Indicator'!C18</f>
        <v>0</v>
      </c>
    </row>
    <row r="20" spans="1:5" x14ac:dyDescent="0.25">
      <c r="A20" t="s">
        <v>113</v>
      </c>
    </row>
    <row r="21" spans="1:5" x14ac:dyDescent="0.25">
      <c r="A21" t="s">
        <v>114</v>
      </c>
    </row>
    <row r="22" spans="1:5" x14ac:dyDescent="0.25">
      <c r="A22" t="s">
        <v>115</v>
      </c>
    </row>
    <row r="23" spans="1:5" x14ac:dyDescent="0.25">
      <c r="A23" t="s">
        <v>116</v>
      </c>
      <c r="B23" s="97"/>
    </row>
    <row r="24" spans="1:5" x14ac:dyDescent="0.25">
      <c r="A24" t="s">
        <v>117</v>
      </c>
    </row>
    <row r="25" spans="1:5" x14ac:dyDescent="0.25">
      <c r="A25" t="s">
        <v>118</v>
      </c>
    </row>
    <row r="26" spans="1:5" x14ac:dyDescent="0.25">
      <c r="A26" t="s">
        <v>119</v>
      </c>
    </row>
    <row r="27" spans="1:5" x14ac:dyDescent="0.25">
      <c r="A27" t="s">
        <v>120</v>
      </c>
      <c r="B27" s="97"/>
    </row>
    <row r="28" spans="1:5" x14ac:dyDescent="0.25">
      <c r="A28" t="s">
        <v>121</v>
      </c>
    </row>
    <row r="29" spans="1:5" x14ac:dyDescent="0.25">
      <c r="A29" t="s">
        <v>122</v>
      </c>
    </row>
    <row r="30" spans="1:5" x14ac:dyDescent="0.25">
      <c r="A30" t="s">
        <v>123</v>
      </c>
    </row>
    <row r="31" spans="1:5" x14ac:dyDescent="0.25">
      <c r="A31" t="s">
        <v>124</v>
      </c>
      <c r="B31" s="97"/>
    </row>
    <row r="32" spans="1:5" x14ac:dyDescent="0.25">
      <c r="A32" t="s">
        <v>125</v>
      </c>
    </row>
    <row r="33" spans="1:2" x14ac:dyDescent="0.25">
      <c r="A33" t="s">
        <v>126</v>
      </c>
    </row>
    <row r="34" spans="1:2" x14ac:dyDescent="0.25">
      <c r="A34" t="s">
        <v>127</v>
      </c>
    </row>
    <row r="35" spans="1:2" x14ac:dyDescent="0.25">
      <c r="A35" t="s">
        <v>128</v>
      </c>
      <c r="B35" s="97"/>
    </row>
    <row r="37" spans="1:2" x14ac:dyDescent="0.25">
      <c r="A37" t="s">
        <v>129</v>
      </c>
      <c r="B37" s="4">
        <f>'AIP Indicator'!B22</f>
        <v>0</v>
      </c>
    </row>
    <row r="39" spans="1:2" x14ac:dyDescent="0.25">
      <c r="A39" t="s">
        <v>130</v>
      </c>
      <c r="B39" s="4" t="str">
        <f>'AIP Indicator'!D22</f>
        <v>Yes</v>
      </c>
    </row>
    <row r="40" spans="1:2" x14ac:dyDescent="0.25">
      <c r="A40" t="s">
        <v>131</v>
      </c>
      <c r="B40" s="4">
        <f>'AIP Indicator'!F22</f>
        <v>0</v>
      </c>
    </row>
    <row r="42" spans="1:2" x14ac:dyDescent="0.25">
      <c r="A42" t="s">
        <v>22</v>
      </c>
    </row>
    <row r="44" spans="1:2" x14ac:dyDescent="0.25">
      <c r="A44" t="s">
        <v>23</v>
      </c>
      <c r="B44" s="4">
        <f>'AIP Indicator'!B25</f>
        <v>0</v>
      </c>
    </row>
    <row r="45" spans="1:2" x14ac:dyDescent="0.25">
      <c r="A45" t="s">
        <v>132</v>
      </c>
      <c r="B45" s="4">
        <f>IF('AIP Indicator'!B26="", 'AIP Indicator'!G26, 'AIP Indicator'!B26)</f>
        <v>0</v>
      </c>
    </row>
    <row r="47" spans="1:2" x14ac:dyDescent="0.25">
      <c r="A47" t="s">
        <v>22</v>
      </c>
      <c r="B47" s="4" t="str">
        <f>'AIP Indicator'!D25</f>
        <v>Purchase</v>
      </c>
    </row>
    <row r="49" spans="1:2" x14ac:dyDescent="0.25">
      <c r="A49" t="s">
        <v>692</v>
      </c>
      <c r="B49" s="4" t="str">
        <f>'AIP Indicator'!B6</f>
        <v>No</v>
      </c>
    </row>
    <row r="51" spans="1:2" x14ac:dyDescent="0.25">
      <c r="A51" t="s">
        <v>718</v>
      </c>
      <c r="B51" s="4">
        <f>B14+E14</f>
        <v>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2:C17"/>
  <sheetViews>
    <sheetView workbookViewId="0">
      <selection activeCell="G16" sqref="G16"/>
    </sheetView>
  </sheetViews>
  <sheetFormatPr defaultRowHeight="15" x14ac:dyDescent="0.25"/>
  <cols>
    <col min="1" max="1" width="23.5703125" customWidth="1"/>
  </cols>
  <sheetData>
    <row r="2" spans="1:2" x14ac:dyDescent="0.25">
      <c r="A2" t="s">
        <v>133</v>
      </c>
      <c r="B2" t="str">
        <f>Calculations!A56</f>
        <v>Declined</v>
      </c>
    </row>
    <row r="4" spans="1:2" x14ac:dyDescent="0.25">
      <c r="A4" t="s">
        <v>36</v>
      </c>
      <c r="B4" s="98">
        <f>Max_Loan_Available</f>
        <v>0</v>
      </c>
    </row>
    <row r="5" spans="1:2" x14ac:dyDescent="0.25">
      <c r="A5" t="s">
        <v>134</v>
      </c>
    </row>
    <row r="7" spans="1:2" x14ac:dyDescent="0.25">
      <c r="A7" t="s">
        <v>135</v>
      </c>
    </row>
    <row r="9" spans="1:2" x14ac:dyDescent="0.25">
      <c r="A9" t="s">
        <v>38</v>
      </c>
      <c r="B9">
        <f>'AIP Indicator'!G26</f>
        <v>0</v>
      </c>
    </row>
    <row r="11" spans="1:2" x14ac:dyDescent="0.25">
      <c r="A11" t="s">
        <v>54</v>
      </c>
      <c r="B11" s="83" t="str">
        <f>'Metrics &amp; Drop Downs'!G32</f>
        <v>£ £ £ £ £ £ £ £ £ £ £ £</v>
      </c>
    </row>
    <row r="13" spans="1:2" x14ac:dyDescent="0.25">
      <c r="A13" t="s">
        <v>22</v>
      </c>
    </row>
    <row r="15" spans="1:2" x14ac:dyDescent="0.25">
      <c r="A15" t="s">
        <v>168</v>
      </c>
      <c r="B15">
        <f>Min_Valuation</f>
        <v>200000</v>
      </c>
    </row>
    <row r="17" spans="1:3" x14ac:dyDescent="0.25">
      <c r="A17" t="s">
        <v>38</v>
      </c>
      <c r="B17">
        <v>30</v>
      </c>
      <c r="C17"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F81"/>
  <sheetViews>
    <sheetView zoomScale="85" zoomScaleNormal="85" workbookViewId="0">
      <selection activeCell="C14" sqref="C14"/>
    </sheetView>
  </sheetViews>
  <sheetFormatPr defaultRowHeight="15" x14ac:dyDescent="0.25"/>
  <cols>
    <col min="1" max="1" width="57" customWidth="1"/>
    <col min="2" max="2" width="30.7109375" bestFit="1" customWidth="1"/>
    <col min="3" max="3" width="27.42578125" customWidth="1"/>
    <col min="4" max="4" width="25.7109375" customWidth="1"/>
    <col min="5" max="5" width="19" customWidth="1"/>
    <col min="6" max="7" width="17.7109375" customWidth="1"/>
    <col min="8" max="8" width="15.28515625" customWidth="1"/>
    <col min="9" max="9" width="8.28515625" customWidth="1"/>
    <col min="10" max="10" width="37.5703125" customWidth="1"/>
    <col min="11" max="12" width="18.5703125" customWidth="1"/>
    <col min="13" max="13" width="5.7109375" customWidth="1"/>
    <col min="14" max="14" width="37.5703125" customWidth="1"/>
    <col min="15" max="16" width="18.5703125" customWidth="1"/>
    <col min="18" max="18" width="37.5703125" customWidth="1"/>
    <col min="19" max="20" width="18.5703125" customWidth="1"/>
    <col min="22" max="22" width="37.5703125" customWidth="1"/>
    <col min="23" max="24" width="18.5703125" customWidth="1"/>
    <col min="26" max="26" width="37.5703125" customWidth="1"/>
    <col min="27" max="28" width="18.5703125" customWidth="1"/>
    <col min="30" max="30" width="37.5703125" customWidth="1"/>
    <col min="31" max="32" width="18.5703125" customWidth="1"/>
  </cols>
  <sheetData>
    <row r="1" spans="1:32" x14ac:dyDescent="0.25">
      <c r="B1" t="s">
        <v>719</v>
      </c>
      <c r="C1" t="s">
        <v>720</v>
      </c>
    </row>
    <row r="2" spans="1:32" x14ac:dyDescent="0.25">
      <c r="B2" t="str">
        <f>IF(AND(Input!B14&gt;=Tolerance_Income, Input!B49="NO",'AIP Indicator'!C16=""), "Yes", IF(Input!E1&gt;=Tolerance_Income, "Yes", "No"))</f>
        <v>No</v>
      </c>
      <c r="C2" t="str">
        <f>IF(AND(Input!$B$51&gt;='Metrics &amp; Drop Downs'!$B$27, Input!$B$49="NO"), "Yes", IF(Input!$B$51&gt;='Metrics &amp; Drop Downs'!$B$27, "Yes", "No"))</f>
        <v>No</v>
      </c>
      <c r="J2" s="14" t="s">
        <v>138</v>
      </c>
      <c r="K2" s="6"/>
      <c r="L2" s="7"/>
      <c r="N2" s="14" t="s">
        <v>139</v>
      </c>
      <c r="O2" s="6"/>
      <c r="P2" s="7"/>
      <c r="R2" s="14" t="s">
        <v>140</v>
      </c>
      <c r="S2" s="6"/>
      <c r="T2" s="7"/>
      <c r="V2" s="14" t="s">
        <v>141</v>
      </c>
      <c r="W2" s="6"/>
      <c r="X2" s="7"/>
      <c r="Z2" s="14" t="s">
        <v>142</v>
      </c>
      <c r="AA2" s="6"/>
      <c r="AB2" s="7"/>
      <c r="AD2" s="14" t="s">
        <v>143</v>
      </c>
      <c r="AE2" s="6"/>
      <c r="AF2" s="7"/>
    </row>
    <row r="3" spans="1:32" s="136" customFormat="1" x14ac:dyDescent="0.25">
      <c r="A3" s="134" t="s">
        <v>180</v>
      </c>
      <c r="B3" s="201" t="str">
        <f>IF(Input!$B$49="Yes","No",IF(Tolerance_Valid="Yes","Yes",IF(C2="Yes","Yes","No")))</f>
        <v>No</v>
      </c>
      <c r="C3" s="135"/>
      <c r="D3" s="135"/>
      <c r="E3" s="135"/>
      <c r="F3" s="135"/>
      <c r="G3" s="135"/>
      <c r="J3" s="137" t="s">
        <v>173</v>
      </c>
      <c r="K3" s="135" t="e">
        <f>Amount_Requested*('Metrics &amp; Drop Downs'!AN4/12)*(1+'Metrics &amp; Drop Downs'!AN4/12)^(Requested_Term*12)/((1+'Metrics &amp; Drop Downs'!AN4/12)^(Requested_Term*12)-1)</f>
        <v>#VALUE!</v>
      </c>
      <c r="L3" s="138" t="s">
        <v>175</v>
      </c>
      <c r="N3" s="137" t="s">
        <v>173</v>
      </c>
      <c r="O3" s="135" t="e">
        <f>Amount_Requested*('Metrics &amp; Drop Downs'!AN5/12)*(1+'Metrics &amp; Drop Downs'!AN5/12)^(Requested_Term*12)/((1+'Metrics &amp; Drop Downs'!AN5/12)^(Requested_Term*12)-1)</f>
        <v>#VALUE!</v>
      </c>
      <c r="P3" s="138" t="s">
        <v>175</v>
      </c>
      <c r="R3" s="137" t="s">
        <v>173</v>
      </c>
      <c r="S3" s="135" t="e">
        <f>Amount_Requested*('Metrics &amp; Drop Downs'!AN6/12)*(1+'Metrics &amp; Drop Downs'!AN6/12)^(Requested_Term*12)/((1+'Metrics &amp; Drop Downs'!AN6/12)^(Requested_Term*12)-1)</f>
        <v>#VALUE!</v>
      </c>
      <c r="T3" s="138" t="s">
        <v>175</v>
      </c>
      <c r="V3" s="137" t="s">
        <v>173</v>
      </c>
      <c r="W3" s="135" t="e">
        <f>Amount_Requested*('Metrics &amp; Drop Downs'!AN7/12)*(1+'Metrics &amp; Drop Downs'!AN7/12)^(Requested_Term*12)/((1+'Metrics &amp; Drop Downs'!AN7/12)^(Requested_Term*12)-1)</f>
        <v>#VALUE!</v>
      </c>
      <c r="X3" s="138" t="s">
        <v>175</v>
      </c>
      <c r="Z3" s="137" t="s">
        <v>173</v>
      </c>
      <c r="AA3" s="135" t="e">
        <f>Amount_Requested*('Metrics &amp; Drop Downs'!AN8/12)*(1+'Metrics &amp; Drop Downs'!AN8/12)^(Requested_Term*12)/((1+'Metrics &amp; Drop Downs'!AN8/12)^(Requested_Term*12)-1)</f>
        <v>#VALUE!</v>
      </c>
      <c r="AB3" s="138" t="s">
        <v>175</v>
      </c>
      <c r="AD3" s="137" t="s">
        <v>173</v>
      </c>
      <c r="AE3" s="135" t="e">
        <f>Amount_Requested*('Metrics &amp; Drop Downs'!AN9/12)*(1+'Metrics &amp; Drop Downs'!AN9/12)^(Requested_Term*12)/((1+'Metrics &amp; Drop Downs'!AN9/12)^(Requested_Term*12)-1)</f>
        <v>#VALUE!</v>
      </c>
      <c r="AF3" s="138" t="s">
        <v>175</v>
      </c>
    </row>
    <row r="4" spans="1:32" s="136" customFormat="1" x14ac:dyDescent="0.25">
      <c r="A4" s="135"/>
      <c r="B4" s="135"/>
      <c r="C4" s="135"/>
      <c r="D4" s="135"/>
      <c r="E4" s="135"/>
      <c r="F4" s="135"/>
      <c r="G4" s="135"/>
      <c r="J4" s="139" t="s">
        <v>174</v>
      </c>
      <c r="K4" s="140" t="e">
        <f>ROUND(K3+L4, 2)</f>
        <v>#VALUE!</v>
      </c>
      <c r="L4" s="141" t="e">
        <f>-(K3-(Amount_Requested*'Metrics &amp; Drop Downs'!AN4*30.4/365))*'Metrics &amp; Drop Downs'!AN4*30.4/365</f>
        <v>#VALUE!</v>
      </c>
      <c r="N4" s="139" t="s">
        <v>174</v>
      </c>
      <c r="O4" s="140" t="e">
        <f>ROUND(O3+P4, 2)</f>
        <v>#VALUE!</v>
      </c>
      <c r="P4" s="141" t="e">
        <f>-(O3-(Amount_Requested*'Metrics &amp; Drop Downs'!AN5*30.4/365))*'Metrics &amp; Drop Downs'!AN5*30.4/365</f>
        <v>#VALUE!</v>
      </c>
      <c r="R4" s="139" t="s">
        <v>174</v>
      </c>
      <c r="S4" s="140" t="e">
        <f>ROUND(S3+T4, 2)</f>
        <v>#VALUE!</v>
      </c>
      <c r="T4" s="141" t="e">
        <f>-(S3-(Amount_Requested*'Metrics &amp; Drop Downs'!AN6*30.4/365))*'Metrics &amp; Drop Downs'!AN6*30.4/365</f>
        <v>#VALUE!</v>
      </c>
      <c r="V4" s="139" t="s">
        <v>174</v>
      </c>
      <c r="W4" s="140" t="e">
        <f>ROUND(W3+X4, 2)</f>
        <v>#VALUE!</v>
      </c>
      <c r="X4" s="141" t="e">
        <f>-(W3-(Amount_Requested*'Metrics &amp; Drop Downs'!AN7*30.4/365))*'Metrics &amp; Drop Downs'!AN7*30.4/365</f>
        <v>#VALUE!</v>
      </c>
      <c r="Z4" s="139" t="s">
        <v>174</v>
      </c>
      <c r="AA4" s="140" t="e">
        <f>ROUND(AA3+AB4, 2)</f>
        <v>#VALUE!</v>
      </c>
      <c r="AB4" s="141" t="e">
        <f>-(AA3-(Amount_Requested*'Metrics &amp; Drop Downs'!AN8*30.4/365))*'Metrics &amp; Drop Downs'!AN8*30.4/365</f>
        <v>#VALUE!</v>
      </c>
      <c r="AD4" s="139" t="s">
        <v>174</v>
      </c>
      <c r="AE4" s="140" t="e">
        <f>ROUND(AE3+AF4, 2)</f>
        <v>#VALUE!</v>
      </c>
      <c r="AF4" s="141" t="e">
        <f>-(AE3-(Amount_Requested*'Metrics &amp; Drop Downs'!AN9*30.4/365))*'Metrics &amp; Drop Downs'!AN9*30.4/365</f>
        <v>#VALUE!</v>
      </c>
    </row>
    <row r="6" spans="1:32" x14ac:dyDescent="0.25">
      <c r="A6" s="14" t="s">
        <v>33</v>
      </c>
      <c r="B6" s="15" t="s">
        <v>37</v>
      </c>
      <c r="C6" s="15"/>
      <c r="D6" s="15"/>
      <c r="E6" s="15"/>
      <c r="F6" s="6"/>
      <c r="G6" s="6"/>
      <c r="H6" s="7"/>
      <c r="O6" s="13"/>
    </row>
    <row r="7" spans="1:32" x14ac:dyDescent="0.25">
      <c r="A7" s="8" t="s">
        <v>35</v>
      </c>
      <c r="B7" s="3">
        <f>IF(A44="AIP", IF(A47="AIP", MAX(H10:H33), 0), 0)</f>
        <v>0</v>
      </c>
      <c r="C7" s="3">
        <f>IF(A44="AIP", IF(A47="AIP", MAX(G10:G33), 0), 0)</f>
        <v>0</v>
      </c>
      <c r="D7" s="3"/>
      <c r="E7" s="3"/>
      <c r="H7" s="9"/>
      <c r="N7" s="34"/>
      <c r="P7" s="16"/>
    </row>
    <row r="8" spans="1:32" x14ac:dyDescent="0.25">
      <c r="A8" s="8"/>
      <c r="B8" s="3"/>
      <c r="C8" s="3"/>
      <c r="D8" s="3"/>
      <c r="E8" s="3"/>
      <c r="H8" s="9"/>
      <c r="N8" s="34"/>
      <c r="P8" s="16"/>
    </row>
    <row r="9" spans="1:32" x14ac:dyDescent="0.25">
      <c r="A9" s="8" t="s">
        <v>24</v>
      </c>
      <c r="B9" s="88" t="s">
        <v>82</v>
      </c>
      <c r="C9" s="88" t="s">
        <v>179</v>
      </c>
      <c r="D9" s="4" t="s">
        <v>181</v>
      </c>
      <c r="E9" s="88" t="s">
        <v>28</v>
      </c>
      <c r="F9" s="4" t="s">
        <v>34</v>
      </c>
      <c r="G9" s="4" t="s">
        <v>184</v>
      </c>
      <c r="H9" s="38" t="s">
        <v>183</v>
      </c>
      <c r="K9" s="142"/>
      <c r="N9" s="34"/>
      <c r="P9" s="16"/>
    </row>
    <row r="10" spans="1:32" x14ac:dyDescent="0.25">
      <c r="A10" s="8" t="str">
        <f>'Metrics &amp; Drop Downs'!F5</f>
        <v>BTL BRT (UT048): Up to £399k</v>
      </c>
      <c r="B10" s="3">
        <f>IF('Metrics &amp; Drop Downs'!P5="No", 0, IF(A10=0, 0, IF(Buy_to_Let="Yes", (Rent_mth/BTL_Affordability)*12/(Standard_Variable_Rate+'Metrics &amp; Drop Downs'!L5),0)))</f>
        <v>0</v>
      </c>
      <c r="C10" s="3">
        <f xml:space="preserve"> IF($B$3="Yes", IF(A10=0, 0, IF(Buy_to_Let="Yes", (Rent_mth/Tolerance_ICR)*12/(Standard_Variable_Rate+'Metrics &amp; Drop Downs'!L5),0)), 0)</f>
        <v>0</v>
      </c>
      <c r="D10" s="3">
        <f>IF(C10&gt;=Tolerance_Min_Loan, C10, 0)</f>
        <v>0</v>
      </c>
      <c r="E10" s="183">
        <f>IF(Input!$B$49="Yes",MIN(VLOOKUP(Property_Value,'Metrics &amp; Drop Downs'!$D$51:$E$58,2)*Property_Value,VLOOKUP(Property_Value,'Metrics &amp; Drop Downs'!$D$51:$F$58,3)),MIN(VLOOKUP(Property_Value,'Metrics &amp; Drop Downs'!$D$35:$E$40,2)*Property_Value,VLOOKUP(Property_Value,'Metrics &amp; Drop Downs'!$D$35:$F$40,3)))</f>
        <v>0</v>
      </c>
      <c r="F10" s="3">
        <f>'Metrics &amp; Drop Downs'!K5</f>
        <v>399999</v>
      </c>
      <c r="G10" s="3">
        <f>IF('Metrics &amp; Drop Downs'!X5="OK",IF(MIN(B10, E10, F10)&lt;'Metrics &amp; Drop Downs'!J5,0,ROUND(MIN(B10, E10, F10)-0.49,0)),0)</f>
        <v>0</v>
      </c>
      <c r="H10" s="91">
        <f>IF('Metrics &amp; Drop Downs'!X5="OK",IF(MIN(MAX(B10, D10), E10, F10)&lt;'Metrics &amp; Drop Downs'!J5,0,ROUND(MIN(MAX(B10, D10), E10, F10)-0.49,0)),0)</f>
        <v>0</v>
      </c>
      <c r="N10" s="34"/>
      <c r="P10" s="16"/>
    </row>
    <row r="11" spans="1:32" x14ac:dyDescent="0.25">
      <c r="A11" s="8" t="str">
        <f>'Metrics &amp; Drop Downs'!F6</f>
        <v>BTL 3 Year Fixed (UF072): Min Loan £100k</v>
      </c>
      <c r="B11" s="3">
        <f>IF('Metrics &amp; Drop Downs'!P6="No", 0, IF(A11=0, 0, IF(Buy_to_Let="Yes", (Rent_mth/BTL_Affordability)*12/(Standard_Variable_Rate+'Metrics &amp; Drop Downs'!L6),0)))</f>
        <v>0</v>
      </c>
      <c r="C11" s="3">
        <f xml:space="preserve"> IF($B$3="Yes", IF(A11=0, 0, IF(Buy_to_Let="Yes", (Rent_mth/Tolerance_ICR)*12/(Standard_Variable_Rate+'Metrics &amp; Drop Downs'!L6),0)), 0)</f>
        <v>0</v>
      </c>
      <c r="D11" s="3">
        <f t="shared" ref="D11:D18" si="0">IF(C11&gt;=Tolerance_Min_Loan, C11, 0)</f>
        <v>0</v>
      </c>
      <c r="E11" s="3">
        <f>E10</f>
        <v>0</v>
      </c>
      <c r="F11" s="3">
        <f>'Metrics &amp; Drop Downs'!K6</f>
        <v>399999</v>
      </c>
      <c r="G11" s="3">
        <f>IF('Metrics &amp; Drop Downs'!X6="OK",IF(MIN(B11, E11, F11)&lt;'Metrics &amp; Drop Downs'!J6,0,ROUND(MIN(B11, E11, F11)-0.49,0)),0)</f>
        <v>0</v>
      </c>
      <c r="H11" s="91">
        <f>IF('Metrics &amp; Drop Downs'!X6="OK",IF(MIN(MAX(B11, D11), E11, F11)&lt;'Metrics &amp; Drop Downs'!J6,0,ROUND(MIN(MAX(B11, D11), E11, F11)-0.49,0)),0)</f>
        <v>0</v>
      </c>
      <c r="N11" s="34"/>
      <c r="P11" s="16"/>
    </row>
    <row r="12" spans="1:32" x14ac:dyDescent="0.25">
      <c r="A12" s="8" t="str">
        <f>'Metrics &amp; Drop Downs'!F7</f>
        <v>BTL BRT (UT049): Min Loan £400k</v>
      </c>
      <c r="B12" s="3">
        <f>IF('Metrics &amp; Drop Downs'!P7="No", 0, IF(A12=0, 0, IF(Buy_to_Let="Yes", (Rent_mth/BTL_Affordability)*12/(Standard_Variable_Rate+'Metrics &amp; Drop Downs'!L7),0)))</f>
        <v>0</v>
      </c>
      <c r="C12" s="3">
        <f xml:space="preserve"> IF($B$3="Yes", IF(A12=0, 0, IF(Buy_to_Let="Yes", (Rent_mth/Tolerance_ICR)*12/(Standard_Variable_Rate+'Metrics &amp; Drop Downs'!L7),0)), 0)</f>
        <v>0</v>
      </c>
      <c r="D12" s="3">
        <f t="shared" si="0"/>
        <v>0</v>
      </c>
      <c r="E12" s="3">
        <f t="shared" ref="E12:E33" si="1">$E$10</f>
        <v>0</v>
      </c>
      <c r="F12" s="3">
        <f>'Metrics &amp; Drop Downs'!K7</f>
        <v>5000000</v>
      </c>
      <c r="G12" s="3">
        <f>IF('Metrics &amp; Drop Downs'!X7="OK",IF(MIN(B12, E12, F12)&lt;'Metrics &amp; Drop Downs'!J7,0,ROUND(MIN(B12, E12, F12)-0.49,0)),0)</f>
        <v>0</v>
      </c>
      <c r="H12" s="91">
        <f>IF('Metrics &amp; Drop Downs'!X7="OK",IF(MIN(MAX(B12, D12), E12, F12)&lt;'Metrics &amp; Drop Downs'!J7,0,ROUND(MIN(MAX(B12, D12), E12, F12)-0.49,0)),0)</f>
        <v>0</v>
      </c>
      <c r="N12" s="34"/>
      <c r="P12" s="16"/>
    </row>
    <row r="13" spans="1:32" x14ac:dyDescent="0.25">
      <c r="A13" s="8" t="str">
        <f>'Metrics &amp; Drop Downs'!F8</f>
        <v>BTL 5 Year Fixed (UF080): Min Loan £500k</v>
      </c>
      <c r="B13" s="3">
        <f>IF('Metrics &amp; Drop Downs'!P8="No", 0, IF(A13=0, 0, IF(Buy_to_Let="Yes", (Rent_mth/BTL_Affordability)*12/(Standard_Variable_Rate+'Metrics &amp; Drop Downs'!L8),0)))</f>
        <v>0</v>
      </c>
      <c r="C13" s="3">
        <f xml:space="preserve"> IF($B$3="Yes", IF(A13=0, 0, IF(Buy_to_Let="Yes", (Rent_mth/Tolerance_ICR)*12/(Standard_Variable_Rate+'Metrics &amp; Drop Downs'!L8),0)), 0)</f>
        <v>0</v>
      </c>
      <c r="D13" s="3">
        <f t="shared" si="0"/>
        <v>0</v>
      </c>
      <c r="E13" s="3">
        <f t="shared" si="1"/>
        <v>0</v>
      </c>
      <c r="F13" s="3">
        <f>'Metrics &amp; Drop Downs'!K8</f>
        <v>5000000</v>
      </c>
      <c r="G13" s="3">
        <f>IF('Metrics &amp; Drop Downs'!X8="OK",IF(MIN(B13, E13, F13)&lt;'Metrics &amp; Drop Downs'!J8,0,ROUND(MIN(B13, E13, F13)-0.49,0)),0)</f>
        <v>0</v>
      </c>
      <c r="H13" s="91">
        <f>IF('Metrics &amp; Drop Downs'!X8="OK",IF(MIN(MAX(B13, D13), E13, F13)&lt;'Metrics &amp; Drop Downs'!J8,0,ROUND(MIN(MAX(B13, D13), E13, F13)-0.49,0)),0)</f>
        <v>0</v>
      </c>
      <c r="N13" s="34"/>
      <c r="P13" s="16"/>
    </row>
    <row r="14" spans="1:32" x14ac:dyDescent="0.25">
      <c r="A14" s="8" t="str">
        <f>'Metrics &amp; Drop Downs'!F9</f>
        <v>BTL 5 Year Fixed (UF079): Min Loan £200k</v>
      </c>
      <c r="B14" s="3">
        <f>IF('Metrics &amp; Drop Downs'!P9="No", 0, IF(A14=0, 0, IF(Buy_to_Let="Yes", (Rent_mth/BTL_Affordability)*12/(Standard_Variable_Rate+'Metrics &amp; Drop Downs'!L9),0)))</f>
        <v>0</v>
      </c>
      <c r="C14" s="3">
        <f xml:space="preserve"> IF($B$3="Yes", IF(A14=0, 0, IF(Buy_to_Let="Yes", (Rent_mth/Tolerance_ICR)*12/(Standard_Variable_Rate+'Metrics &amp; Drop Downs'!L9),0)), 0)</f>
        <v>0</v>
      </c>
      <c r="D14" s="3">
        <f t="shared" si="0"/>
        <v>0</v>
      </c>
      <c r="E14" s="3">
        <f t="shared" si="1"/>
        <v>0</v>
      </c>
      <c r="F14" s="3">
        <f>'Metrics &amp; Drop Downs'!K9</f>
        <v>499999.99</v>
      </c>
      <c r="G14" s="3">
        <f>IF('Metrics &amp; Drop Downs'!X9="OK",IF(MIN(B14, E14, F14)&lt;'Metrics &amp; Drop Downs'!J9,0,ROUND(MIN(B14, E14, F14)-0.49,0)),0)</f>
        <v>0</v>
      </c>
      <c r="H14" s="91">
        <f>IF('Metrics &amp; Drop Downs'!X9="OK",IF(MIN(MAX(B14, D14), E14, F14)&lt;'Metrics &amp; Drop Downs'!J9,0,ROUND(MIN(MAX(B14, D14), E14, F14)-0.49,0)),0)</f>
        <v>0</v>
      </c>
      <c r="N14" s="34"/>
      <c r="P14" s="16"/>
    </row>
    <row r="15" spans="1:32" x14ac:dyDescent="0.25">
      <c r="A15" s="186" t="str">
        <f>'Metrics &amp; Drop Downs'!F10</f>
        <v>BTL 3 Year Fixed (UF073): Min Loan £400k</v>
      </c>
      <c r="B15" s="183">
        <f>IF('Metrics &amp; Drop Downs'!P10="No", 0, IF(A15=0, 0, IF(Buy_to_Let="Yes", (Rent_mth/BTL_Affordability)*12/(Standard_Variable_Rate+'Metrics &amp; Drop Downs'!L10),0)))</f>
        <v>0</v>
      </c>
      <c r="C15" s="3">
        <f xml:space="preserve"> IF($B$3="Yes", IF(A15=0, 0, IF(Buy_to_Let="Yes", (Rent_mth/Tolerance_ICR)*12/(Standard_Variable_Rate+'Metrics &amp; Drop Downs'!L10),0)), 0)</f>
        <v>0</v>
      </c>
      <c r="D15" s="183">
        <f t="shared" si="0"/>
        <v>0</v>
      </c>
      <c r="E15" s="183">
        <f t="shared" si="1"/>
        <v>0</v>
      </c>
      <c r="F15" s="183">
        <f>'Metrics &amp; Drop Downs'!K10</f>
        <v>5000000</v>
      </c>
      <c r="G15" s="183">
        <f>IF('Metrics &amp; Drop Downs'!X10="OK",IF(MIN(B15, E15, F15)&lt;'Metrics &amp; Drop Downs'!J10,0,ROUND(MIN(B15, E15, F15)-0.49,0)),0)</f>
        <v>0</v>
      </c>
      <c r="H15" s="187">
        <f>IF('Metrics &amp; Drop Downs'!X10="OK",IF(MIN(MAX(B15, D15), E15, F15)&lt;'Metrics &amp; Drop Downs'!J10,0,ROUND(MIN(MAX(B15, D15), E15, F15)-0.49,0)),0)</f>
        <v>0</v>
      </c>
      <c r="N15" s="34"/>
      <c r="P15" s="16"/>
    </row>
    <row r="16" spans="1:32" x14ac:dyDescent="0.25">
      <c r="A16" s="186" t="str">
        <f>'Metrics &amp; Drop Downs'!F11</f>
        <v>BTL BRT (UT048): Up to £399k</v>
      </c>
      <c r="B16" s="183">
        <f>IF('Metrics &amp; Drop Downs'!P11="No", 0, IF(A16=0, 0, IF(Buy_to_Let="Yes", (Rent_mth/BTL_Affordability)*12/(Standard_Variable_Rate+'Metrics &amp; Drop Downs'!L11),0)))</f>
        <v>0</v>
      </c>
      <c r="C16" s="3">
        <f xml:space="preserve"> IF($B$3="Yes", IF(A16=0, 0, IF(Buy_to_Let="Yes", (Rent_mth/Tolerance_ICR)*12/(Standard_Variable_Rate+'Metrics &amp; Drop Downs'!L11),0)), 0)</f>
        <v>0</v>
      </c>
      <c r="D16" s="183">
        <f t="shared" si="0"/>
        <v>0</v>
      </c>
      <c r="E16" s="183">
        <f>$E$10</f>
        <v>0</v>
      </c>
      <c r="F16" s="183">
        <f>'Metrics &amp; Drop Downs'!K11</f>
        <v>399999</v>
      </c>
      <c r="G16" s="183">
        <f>IF('Metrics &amp; Drop Downs'!X11="OK",IF(MIN(B16, E16, F16)&lt;'Metrics &amp; Drop Downs'!J11,0,ROUND(MIN(B16, E16, F16)-0.49,0)),0)</f>
        <v>0</v>
      </c>
      <c r="H16" s="187">
        <f>IF('Metrics &amp; Drop Downs'!X11="OK",IF(MIN(MAX(B16, D16), E16, F16)&lt;'Metrics &amp; Drop Downs'!J11,0,ROUND(MIN(MAX(B16, D16), E16, F16)-0.49,0)),0)</f>
        <v>0</v>
      </c>
      <c r="N16" s="34"/>
      <c r="P16" s="16"/>
    </row>
    <row r="17" spans="1:16" x14ac:dyDescent="0.25">
      <c r="A17" s="186" t="str">
        <f>'Metrics &amp; Drop Downs'!F12</f>
        <v>BTL 3 Year Fixed (UF072): Min Loan £100k</v>
      </c>
      <c r="B17" s="183">
        <f>IF('Metrics &amp; Drop Downs'!P12="No", 0, IF(A17=0, 0, IF(Buy_to_Let="Yes", (Rent_mth/BTL_Affordability)*12/(Standard_Variable_Rate+'Metrics &amp; Drop Downs'!L12),0)))</f>
        <v>0</v>
      </c>
      <c r="C17" s="3">
        <f xml:space="preserve"> IF($B$3="Yes", IF(A17=0, 0, IF(Buy_to_Let="Yes", (Rent_mth/Tolerance_ICR)*12/(Standard_Variable_Rate+'Metrics &amp; Drop Downs'!L12),0)), 0)</f>
        <v>0</v>
      </c>
      <c r="D17" s="183">
        <f t="shared" si="0"/>
        <v>0</v>
      </c>
      <c r="E17" s="183">
        <f t="shared" si="1"/>
        <v>0</v>
      </c>
      <c r="F17" s="183">
        <f>'Metrics &amp; Drop Downs'!K12</f>
        <v>399999</v>
      </c>
      <c r="G17" s="183">
        <f>IF('Metrics &amp; Drop Downs'!X12="OK",IF(MIN(B17, E17, F17)&lt;'Metrics &amp; Drop Downs'!J12,0,ROUND(MIN(B17, E17, F17)-0.49,0)),0)</f>
        <v>0</v>
      </c>
      <c r="H17" s="187">
        <f>IF('Metrics &amp; Drop Downs'!X12="OK",IF(MIN(MAX(B17, D17), E17, F17)&lt;'Metrics &amp; Drop Downs'!J12,0,ROUND(MIN(MAX(B17, D17), E17, F17)-0.49,0)),0)</f>
        <v>0</v>
      </c>
      <c r="N17" s="34"/>
      <c r="P17" s="16"/>
    </row>
    <row r="18" spans="1:16" x14ac:dyDescent="0.25">
      <c r="A18" s="186" t="str">
        <f>'Metrics &amp; Drop Downs'!F13</f>
        <v>BTL BRT (UT049): Min Loan £400k</v>
      </c>
      <c r="B18" s="183">
        <f>IF('Metrics &amp; Drop Downs'!P13="No", 0, IF(A18=0, 0, IF(Buy_to_Let="Yes", (Rent_mth/BTL_Affordability)*12/(Standard_Variable_Rate+'Metrics &amp; Drop Downs'!L13),0)))</f>
        <v>0</v>
      </c>
      <c r="C18" s="3">
        <f xml:space="preserve"> IF($B$3="Yes", IF(A18=0, 0, IF(Buy_to_Let="Yes", (Rent_mth/Tolerance_ICR)*12/(Standard_Variable_Rate+'Metrics &amp; Drop Downs'!L13),0)), 0)</f>
        <v>0</v>
      </c>
      <c r="D18" s="183">
        <f t="shared" si="0"/>
        <v>0</v>
      </c>
      <c r="E18" s="183">
        <f t="shared" si="1"/>
        <v>0</v>
      </c>
      <c r="F18" s="183">
        <f>'Metrics &amp; Drop Downs'!K13</f>
        <v>5000000</v>
      </c>
      <c r="G18" s="183">
        <f>IF('Metrics &amp; Drop Downs'!X13="OK",IF(MIN(B18, E18, F18)&lt;'Metrics &amp; Drop Downs'!J13,0,ROUND(MIN(B18, E18, F18)-0.49,0)),0)</f>
        <v>0</v>
      </c>
      <c r="H18" s="187">
        <f>IF('Metrics &amp; Drop Downs'!X13="OK",IF(MIN(MAX(B18, D18), E18, F18)&lt;'Metrics &amp; Drop Downs'!J13,0,ROUND(MIN(MAX(B18, D18), E18, F18)-0.49,0)),0)</f>
        <v>0</v>
      </c>
      <c r="N18" s="34"/>
      <c r="P18" s="16"/>
    </row>
    <row r="19" spans="1:16" x14ac:dyDescent="0.25">
      <c r="A19" s="186" t="str">
        <f>'Metrics &amp; Drop Downs'!F14</f>
        <v>BTL 5 Year Fixed (UF080): Min Loan £500k</v>
      </c>
      <c r="B19" s="3">
        <f>IF('Metrics &amp; Drop Downs'!P14="No", 0, IF(A19=0, 0, IF(Buy_to_Let="Yes", (Rent_mth/BTL_Affordability)*12/(Standard_Variable_Rate+'Metrics &amp; Drop Downs'!L14),0)))</f>
        <v>0</v>
      </c>
      <c r="C19" s="3">
        <f xml:space="preserve"> IF($B$3="Yes", IF(A19=0, 0, IF(Buy_to_Let="Yes", (Rent_mth/Tolerance_ICR)*12/(Standard_Variable_Rate+'Metrics &amp; Drop Downs'!L14),0)), 0)</f>
        <v>0</v>
      </c>
      <c r="D19" s="3">
        <f t="shared" ref="D19:D33" si="2">IF(C19&gt;=Tolerance_Min_Loan, C19, 0)</f>
        <v>0</v>
      </c>
      <c r="E19" s="3">
        <f t="shared" si="1"/>
        <v>0</v>
      </c>
      <c r="F19" s="3">
        <f>'Metrics &amp; Drop Downs'!K14</f>
        <v>5000000</v>
      </c>
      <c r="G19" s="3">
        <f>IF('Metrics &amp; Drop Downs'!X14="OK",IF(MIN(B19, E19, F19)&lt;'Metrics &amp; Drop Downs'!J14,0,ROUND(MIN(B19, E19, F19)-0.49,0)),0)</f>
        <v>0</v>
      </c>
      <c r="H19" s="91">
        <f>IF('Metrics &amp; Drop Downs'!X14="OK",IF(MIN(MAX(B19, D19), E19, F19)&lt;'Metrics &amp; Drop Downs'!J14,0,ROUND(MIN(MAX(B19, D19), E19, F19)-0.49,0)),0)</f>
        <v>0</v>
      </c>
      <c r="N19" s="34"/>
      <c r="P19" s="16"/>
    </row>
    <row r="20" spans="1:16" x14ac:dyDescent="0.25">
      <c r="A20" s="186" t="str">
        <f>'Metrics &amp; Drop Downs'!F15</f>
        <v>BTL 5 Year Fixed (UF079): Min Loan £200k</v>
      </c>
      <c r="B20" s="3">
        <f>IF('Metrics &amp; Drop Downs'!P15="No", 0, IF(A20=0, 0, IF(Buy_to_Let="Yes", (Rent_mth/BTL_Affordability)*12/(Standard_Variable_Rate+'Metrics &amp; Drop Downs'!L15),0)))</f>
        <v>0</v>
      </c>
      <c r="C20" s="3">
        <f xml:space="preserve"> IF($B$3="Yes", IF(A20=0, 0, IF(Buy_to_Let="Yes", (Rent_mth/Tolerance_ICR)*12/(Standard_Variable_Rate+'Metrics &amp; Drop Downs'!L15),0)), 0)</f>
        <v>0</v>
      </c>
      <c r="D20" s="3">
        <f t="shared" si="2"/>
        <v>0</v>
      </c>
      <c r="E20" s="3">
        <f t="shared" si="1"/>
        <v>0</v>
      </c>
      <c r="F20" s="3">
        <f>'Metrics &amp; Drop Downs'!K15</f>
        <v>499999.99</v>
      </c>
      <c r="G20" s="3">
        <f>IF('Metrics &amp; Drop Downs'!X15="OK",IF(MIN(B20, E20, F20)&lt;'Metrics &amp; Drop Downs'!J15,0,ROUND(MIN(B20, E20, F20)-0.49,0)),0)</f>
        <v>0</v>
      </c>
      <c r="H20" s="91">
        <f>IF('Metrics &amp; Drop Downs'!X15="OK",IF(MIN(MAX(B20, D20), E20, F20)&lt;'Metrics &amp; Drop Downs'!J15,0,ROUND(MIN(MAX(B20, D20), E20, F20)-0.49,0)),0)</f>
        <v>0</v>
      </c>
      <c r="N20" s="34"/>
      <c r="P20" s="16"/>
    </row>
    <row r="21" spans="1:16" x14ac:dyDescent="0.25">
      <c r="A21" s="186" t="str">
        <f>'Metrics &amp; Drop Downs'!F16</f>
        <v>BTL 3 Year Fixed (UF073): Min Loan £400k</v>
      </c>
      <c r="B21" s="3">
        <f>IF('Metrics &amp; Drop Downs'!P16="No", 0, IF(A21=0, 0, IF(Buy_to_Let="Yes", (Rent_mth/BTL_Affordability)*12/(Standard_Variable_Rate+'Metrics &amp; Drop Downs'!L16),0)))</f>
        <v>0</v>
      </c>
      <c r="C21" s="3">
        <f xml:space="preserve"> IF($B$3="Yes", IF(A21=0, 0, IF(Buy_to_Let="Yes", (Rent_mth/Tolerance_ICR)*12/(Standard_Variable_Rate+'Metrics &amp; Drop Downs'!L16),0)), 0)</f>
        <v>0</v>
      </c>
      <c r="D21" s="3">
        <f t="shared" si="2"/>
        <v>0</v>
      </c>
      <c r="E21" s="3">
        <f t="shared" si="1"/>
        <v>0</v>
      </c>
      <c r="F21" s="3">
        <f>'Metrics &amp; Drop Downs'!K16</f>
        <v>5000000</v>
      </c>
      <c r="G21" s="3">
        <f>IF('Metrics &amp; Drop Downs'!X16="OK",IF(MIN(B21, E21, F21)&lt;'Metrics &amp; Drop Downs'!J16,0,ROUND(MIN(B21, E21, F21)-0.49,0)),0)</f>
        <v>0</v>
      </c>
      <c r="H21" s="91">
        <f>IF('Metrics &amp; Drop Downs'!X16="OK",IF(MIN(MAX(B21, D21), E21, F21)&lt;'Metrics &amp; Drop Downs'!J16,0,ROUND(MIN(MAX(B21, D21), E21, F21)-0.49,0)),0)</f>
        <v>0</v>
      </c>
      <c r="N21" s="34"/>
      <c r="P21" s="16"/>
    </row>
    <row r="22" spans="1:16" x14ac:dyDescent="0.25">
      <c r="A22" s="186" t="str">
        <f>'Metrics &amp; Drop Downs'!F17</f>
        <v>Standard Variable Rate</v>
      </c>
      <c r="B22" s="3">
        <f>IF('Metrics &amp; Drop Downs'!P17="No", 0, IF(A22=0, 0, IF(Buy_to_Let="Yes", (Rent_mth/BTL_Affordability)*12/(Standard_Variable_Rate+'Metrics &amp; Drop Downs'!L17),0)))</f>
        <v>0</v>
      </c>
      <c r="C22" s="3">
        <f xml:space="preserve"> IF($B$3="Yes", IF(A22=0, 0, IF(Buy_to_Let="Yes", (Rent_mth/Tolerance_ICR)*12/(Standard_Variable_Rate+'Metrics &amp; Drop Downs'!L17),0)), 0)</f>
        <v>0</v>
      </c>
      <c r="D22" s="3">
        <f t="shared" si="2"/>
        <v>0</v>
      </c>
      <c r="E22" s="3">
        <f t="shared" si="1"/>
        <v>0</v>
      </c>
      <c r="F22" s="3">
        <f>'Metrics &amp; Drop Downs'!K17</f>
        <v>5000000</v>
      </c>
      <c r="G22" s="3">
        <f>IF('Metrics &amp; Drop Downs'!X17="OK",IF(MIN(B22, E22, F22)&lt;'Metrics &amp; Drop Downs'!J17,0,ROUND(MIN(B22, E22, F22)-0.49,0)),0)</f>
        <v>0</v>
      </c>
      <c r="H22" s="91">
        <f>IF('Metrics &amp; Drop Downs'!X17="OK",IF(MIN(MAX(B22, D22), E22, F22)&lt;'Metrics &amp; Drop Downs'!J17,0,ROUND(MIN(MAX(B22, D22), E22, F22)-0.49,0)),0)</f>
        <v>0</v>
      </c>
      <c r="N22" s="34"/>
      <c r="P22" s="16"/>
    </row>
    <row r="23" spans="1:16" x14ac:dyDescent="0.25">
      <c r="A23" s="186" t="str">
        <f>'Metrics &amp; Drop Downs'!F18</f>
        <v>BTL BRT (CUT07): £100k-£399k</v>
      </c>
      <c r="B23" s="3">
        <f>IF('Metrics &amp; Drop Downs'!P18="No", 0, IF(A23=0, 0, IF(Buy_to_Let="Yes", (Rent_mth/BTL_Affordability)*12/(Standard_Variable_Rate+'Metrics &amp; Drop Downs'!L18),0)))</f>
        <v>0</v>
      </c>
      <c r="C23" s="3">
        <f xml:space="preserve"> IF($B$3="Yes", IF(A23=0, 0, IF(Buy_to_Let="Yes", (Rent_mth/Tolerance_ICR)*12/(Standard_Variable_Rate+'Metrics &amp; Drop Downs'!L18),0)), 0)</f>
        <v>0</v>
      </c>
      <c r="D23" s="3">
        <f t="shared" si="2"/>
        <v>0</v>
      </c>
      <c r="E23" s="3">
        <f t="shared" si="1"/>
        <v>0</v>
      </c>
      <c r="F23" s="3">
        <f>'Metrics &amp; Drop Downs'!K18</f>
        <v>399999</v>
      </c>
      <c r="G23" s="3">
        <f>IF('Metrics &amp; Drop Downs'!X18="OK",IF(MIN(B23, E23, F23)&lt;'Metrics &amp; Drop Downs'!J18,0,ROUND(MIN(B23, E23, F23)-0.49,0)),0)</f>
        <v>0</v>
      </c>
      <c r="H23" s="91">
        <f>IF('Metrics &amp; Drop Downs'!X18="OK",IF(MIN(MAX(B23, D23), E23, F23)&lt;'Metrics &amp; Drop Downs'!J18,0,ROUND(MIN(MAX(B23, D23), E23, F23)-0.49,0)),0)</f>
        <v>0</v>
      </c>
      <c r="N23" s="34"/>
      <c r="P23" s="16"/>
    </row>
    <row r="24" spans="1:16" x14ac:dyDescent="0.25">
      <c r="A24" s="186" t="str">
        <f>'Metrics &amp; Drop Downs'!F19</f>
        <v>BTL 3 Year Fixed (CUF09): Min Loan £100k</v>
      </c>
      <c r="B24" s="3">
        <f>IF('Metrics &amp; Drop Downs'!P19="No", 0, IF(A24=0, 0, IF(Buy_to_Let="Yes", (Rent_mth/BTL_Affordability)*12/(Standard_Variable_Rate+'Metrics &amp; Drop Downs'!L19),0)))</f>
        <v>0</v>
      </c>
      <c r="C24" s="3">
        <f xml:space="preserve"> IF($B$3="Yes", IF(A24=0, 0, IF(Buy_to_Let="Yes", (Rent_mth/Tolerance_ICR)*12/(Standard_Variable_Rate+'Metrics &amp; Drop Downs'!L19),0)), 0)</f>
        <v>0</v>
      </c>
      <c r="D24" s="3">
        <f t="shared" si="2"/>
        <v>0</v>
      </c>
      <c r="E24" s="3">
        <f t="shared" si="1"/>
        <v>0</v>
      </c>
      <c r="F24" s="3">
        <f>'Metrics &amp; Drop Downs'!K19</f>
        <v>399999</v>
      </c>
      <c r="G24" s="3">
        <f>IF('Metrics &amp; Drop Downs'!X19="OK",IF(MIN(B24, E24, F24)&lt;'Metrics &amp; Drop Downs'!J19,0,ROUND(MIN(B24, E24, F24)-0.49,0)),0)</f>
        <v>0</v>
      </c>
      <c r="H24" s="91">
        <f>IF('Metrics &amp; Drop Downs'!X19="OK",IF(MIN(MAX(B24, D24), E24, F24)&lt;'Metrics &amp; Drop Downs'!J19,0,ROUND(MIN(MAX(B24, D24), E24, F24)-0.49,0)),0)</f>
        <v>0</v>
      </c>
      <c r="N24" s="34"/>
      <c r="P24" s="16"/>
    </row>
    <row r="25" spans="1:16" x14ac:dyDescent="0.25">
      <c r="A25" s="186" t="str">
        <f>'Metrics &amp; Drop Downs'!F20</f>
        <v>BTL BRT (CUT08): Min Loan £400k</v>
      </c>
      <c r="B25" s="3">
        <f>IF('Metrics &amp; Drop Downs'!P20="No", 0, IF(A25=0, 0, IF(Buy_to_Let="Yes", (Rent_mth/BTL_Affordability)*12/(Standard_Variable_Rate+'Metrics &amp; Drop Downs'!L20),0)))</f>
        <v>0</v>
      </c>
      <c r="C25" s="3">
        <f xml:space="preserve"> IF($B$3="Yes", IF(A25=0, 0, IF(Buy_to_Let="Yes", (Rent_mth/Tolerance_ICR)*12/(Standard_Variable_Rate+'Metrics &amp; Drop Downs'!L20),0)), 0)</f>
        <v>0</v>
      </c>
      <c r="D25" s="3">
        <f t="shared" si="2"/>
        <v>0</v>
      </c>
      <c r="E25" s="3">
        <f t="shared" si="1"/>
        <v>0</v>
      </c>
      <c r="F25" s="3">
        <f>'Metrics &amp; Drop Downs'!K20</f>
        <v>5000000</v>
      </c>
      <c r="G25" s="3">
        <f>IF('Metrics &amp; Drop Downs'!X20="OK",IF(MIN(B25, E25, F25)&lt;'Metrics &amp; Drop Downs'!J20,0,ROUND(MIN(B25, E25, F25)-0.49,0)),0)</f>
        <v>0</v>
      </c>
      <c r="H25" s="91">
        <f>IF('Metrics &amp; Drop Downs'!X20="OK",IF(MIN(MAX(B25, D25), E25, F25)&lt;'Metrics &amp; Drop Downs'!J20,0,ROUND(MIN(MAX(B25, D25), E25, F25)-0.49,0)),0)</f>
        <v>0</v>
      </c>
      <c r="N25" s="34"/>
      <c r="P25" s="16"/>
    </row>
    <row r="26" spans="1:16" x14ac:dyDescent="0.25">
      <c r="A26" s="186" t="str">
        <f>'Metrics &amp; Drop Downs'!F21</f>
        <v>BTL 5 Year Fixed (CUF14): Min Loan £400k</v>
      </c>
      <c r="B26" s="3">
        <f>IF('Metrics &amp; Drop Downs'!P21="No", 0, IF(A26=0, 0, IF(Buy_to_Let="Yes", (Rent_mth/BTL_Affordability)*12/(Standard_Variable_Rate+'Metrics &amp; Drop Downs'!L21),0)))</f>
        <v>0</v>
      </c>
      <c r="C26" s="3">
        <f xml:space="preserve"> IF($B$3="Yes", IF(A26=0, 0, IF(Buy_to_Let="Yes", (Rent_mth/Tolerance_ICR)*12/(Standard_Variable_Rate+'Metrics &amp; Drop Downs'!L21),0)), 0)</f>
        <v>0</v>
      </c>
      <c r="D26" s="3">
        <f t="shared" si="2"/>
        <v>0</v>
      </c>
      <c r="E26" s="3">
        <f t="shared" si="1"/>
        <v>0</v>
      </c>
      <c r="F26" s="3">
        <f>'Metrics &amp; Drop Downs'!K21</f>
        <v>5000000</v>
      </c>
      <c r="G26" s="3">
        <f>IF('Metrics &amp; Drop Downs'!X21="OK",IF(MIN(B26, E26, F26)&lt;'Metrics &amp; Drop Downs'!J21,0,ROUND(MIN(B26, E26, F26)-0.49,0)),0)</f>
        <v>0</v>
      </c>
      <c r="H26" s="91">
        <f>IF('Metrics &amp; Drop Downs'!X21="OK",IF(MIN(MAX(B26, D26), E26, F26)&lt;'Metrics &amp; Drop Downs'!J21,0,ROUND(MIN(MAX(B26, D26), E26, F26)-0.49,0)),0)</f>
        <v>0</v>
      </c>
      <c r="N26" s="34"/>
      <c r="P26" s="16"/>
    </row>
    <row r="27" spans="1:16" x14ac:dyDescent="0.25">
      <c r="A27" s="186" t="str">
        <f>'Metrics &amp; Drop Downs'!F22</f>
        <v>BTL 5 Year Fixed (CUF13): Min Loan £200k</v>
      </c>
      <c r="B27" s="3">
        <f>IF('Metrics &amp; Drop Downs'!P22="No", 0, IF(A27=0, 0, IF(Buy_to_Let="Yes", (Rent_mth/BTL_Affordability)*12/(Standard_Variable_Rate+'Metrics &amp; Drop Downs'!L22),0)))</f>
        <v>0</v>
      </c>
      <c r="C27" s="3">
        <f xml:space="preserve"> IF($B$3="Yes", IF(A27=0, 0, IF(Buy_to_Let="Yes", (Rent_mth/Tolerance_ICR)*12/(Standard_Variable_Rate+'Metrics &amp; Drop Downs'!L22),0)), 0)</f>
        <v>0</v>
      </c>
      <c r="D27" s="3">
        <f t="shared" si="2"/>
        <v>0</v>
      </c>
      <c r="E27" s="3">
        <f t="shared" si="1"/>
        <v>0</v>
      </c>
      <c r="F27" s="3">
        <f>'Metrics &amp; Drop Downs'!K22</f>
        <v>5000000</v>
      </c>
      <c r="G27" s="3">
        <f>IF('Metrics &amp; Drop Downs'!X22="OK",IF(MIN(B27, E27, F27)&lt;'Metrics &amp; Drop Downs'!J22,0,ROUND(MIN(B27, E27, F27)-0.49,0)),0)</f>
        <v>0</v>
      </c>
      <c r="H27" s="91">
        <f>IF('Metrics &amp; Drop Downs'!X22="OK",IF(MIN(MAX(B27, D27), E27, F27)&lt;'Metrics &amp; Drop Downs'!J22,0,ROUND(MIN(MAX(B27, D27), E27, F27)-0.49,0)),0)</f>
        <v>0</v>
      </c>
      <c r="N27" s="34"/>
      <c r="P27" s="16"/>
    </row>
    <row r="28" spans="1:16" x14ac:dyDescent="0.25">
      <c r="A28" s="186" t="str">
        <f>'Metrics &amp; Drop Downs'!F23</f>
        <v>BTL 3 Year Fixed (CUF10): Min Loan £400k</v>
      </c>
      <c r="B28" s="3">
        <f>IF('Metrics &amp; Drop Downs'!P23="No", 0, IF(A28=0, 0, IF(Buy_to_Let="Yes", (Rent_mth/BTL_Affordability)*12/(Standard_Variable_Rate+'Metrics &amp; Drop Downs'!L23),0)))</f>
        <v>0</v>
      </c>
      <c r="C28" s="3">
        <f xml:space="preserve"> IF($B$3="Yes", IF(A28=0, 0, IF(Buy_to_Let="Yes", (Rent_mth/Tolerance_ICR)*12/(Standard_Variable_Rate+'Metrics &amp; Drop Downs'!L23),0)), 0)</f>
        <v>0</v>
      </c>
      <c r="D28" s="3">
        <f t="shared" si="2"/>
        <v>0</v>
      </c>
      <c r="E28" s="3">
        <f t="shared" si="1"/>
        <v>0</v>
      </c>
      <c r="F28" s="3">
        <f>'Metrics &amp; Drop Downs'!K23</f>
        <v>5000000</v>
      </c>
      <c r="G28" s="3">
        <f>IF('Metrics &amp; Drop Downs'!X23="OK",IF(MIN(B28, E28, F28)&lt;'Metrics &amp; Drop Downs'!J23,0,ROUND(MIN(B28, E28, F28)-0.49,0)),0)</f>
        <v>0</v>
      </c>
      <c r="H28" s="91">
        <f>IF('Metrics &amp; Drop Downs'!X23="OK",IF(MIN(MAX(B28, D28), E28, F28)&lt;'Metrics &amp; Drop Downs'!J23,0,ROUND(MIN(MAX(B28, D28), E28, F28)-0.49,0)),0)</f>
        <v>0</v>
      </c>
      <c r="N28" s="34"/>
      <c r="P28" s="16"/>
    </row>
    <row r="29" spans="1:16" x14ac:dyDescent="0.25">
      <c r="A29" s="186" t="str">
        <f>'Metrics &amp; Drop Downs'!F24</f>
        <v>BTL BRT (CUT07): £100k-£399k</v>
      </c>
      <c r="B29" s="3">
        <f>IF('Metrics &amp; Drop Downs'!P24="No", 0, IF(A29=0, 0, IF(Buy_to_Let="Yes", (Rent_mth/BTL_Affordability)*12/(Standard_Variable_Rate+'Metrics &amp; Drop Downs'!L24),0)))</f>
        <v>0</v>
      </c>
      <c r="C29" s="3">
        <f xml:space="preserve"> IF($B$3="Yes", IF(A29=0, 0, IF(Buy_to_Let="Yes", (Rent_mth/Tolerance_ICR)*12/(Standard_Variable_Rate+'Metrics &amp; Drop Downs'!L24),0)), 0)</f>
        <v>0</v>
      </c>
      <c r="D29" s="3">
        <f t="shared" si="2"/>
        <v>0</v>
      </c>
      <c r="E29" s="3">
        <f t="shared" si="1"/>
        <v>0</v>
      </c>
      <c r="F29" s="3">
        <f>'Metrics &amp; Drop Downs'!K24</f>
        <v>399999</v>
      </c>
      <c r="G29" s="3">
        <f>IF('Metrics &amp; Drop Downs'!X24="OK",IF(MIN(B29, E29, F29)&lt;'Metrics &amp; Drop Downs'!J24,0,ROUND(MIN(B29, E29, F29)-0.49,0)),0)</f>
        <v>0</v>
      </c>
      <c r="H29" s="91">
        <f>IF('Metrics &amp; Drop Downs'!X24="OK",IF(MIN(MAX(B29, D29), E29, F29)&lt;'Metrics &amp; Drop Downs'!J24,0,ROUND(MIN(MAX(B29, D29), E29, F29)-0.49,0)),0)</f>
        <v>0</v>
      </c>
      <c r="N29" s="34"/>
      <c r="P29" s="16"/>
    </row>
    <row r="30" spans="1:16" x14ac:dyDescent="0.25">
      <c r="A30" s="186" t="str">
        <f>'Metrics &amp; Drop Downs'!F25</f>
        <v>BTL 3 Year Fixed (CUF09): Min Loan £100k</v>
      </c>
      <c r="B30" s="3">
        <f>IF('Metrics &amp; Drop Downs'!P25="No", 0, IF(A30=0, 0, IF(Buy_to_Let="Yes", (Rent_mth/BTL_Affordability)*12/(Standard_Variable_Rate+'Metrics &amp; Drop Downs'!L25),0)))</f>
        <v>0</v>
      </c>
      <c r="C30" s="3">
        <f xml:space="preserve"> IF($B$3="Yes", IF(A30=0, 0, IF(Buy_to_Let="Yes", (Rent_mth/Tolerance_ICR)*12/(Standard_Variable_Rate+'Metrics &amp; Drop Downs'!L25),0)), 0)</f>
        <v>0</v>
      </c>
      <c r="D30" s="3">
        <f t="shared" si="2"/>
        <v>0</v>
      </c>
      <c r="E30" s="3">
        <f t="shared" si="1"/>
        <v>0</v>
      </c>
      <c r="F30" s="3">
        <f>'Metrics &amp; Drop Downs'!K25</f>
        <v>399999</v>
      </c>
      <c r="G30" s="3">
        <f>IF('Metrics &amp; Drop Downs'!X25="OK",IF(MIN(B30, E30, F30)&lt;'Metrics &amp; Drop Downs'!J25,0,ROUND(MIN(B30, E30, F30)-0.49,0)),0)</f>
        <v>0</v>
      </c>
      <c r="H30" s="91">
        <f>IF('Metrics &amp; Drop Downs'!X25="OK",IF(MIN(MAX(B30, D30), E30, F30)&lt;'Metrics &amp; Drop Downs'!J25,0,ROUND(MIN(MAX(B30, D30), E30, F30)-0.49,0)),0)</f>
        <v>0</v>
      </c>
      <c r="N30" s="34"/>
      <c r="P30" s="16"/>
    </row>
    <row r="31" spans="1:16" x14ac:dyDescent="0.25">
      <c r="A31" s="186" t="str">
        <f>'Metrics &amp; Drop Downs'!F26</f>
        <v>BTL BRT (CUT08): Min Loan £400k</v>
      </c>
      <c r="B31" s="3">
        <f>IF('Metrics &amp; Drop Downs'!P26="No", 0, IF(A31=0, 0, IF(Buy_to_Let="Yes", (Rent_mth/BTL_Affordability)*12/(Standard_Variable_Rate+'Metrics &amp; Drop Downs'!L26),0)))</f>
        <v>0</v>
      </c>
      <c r="C31" s="3">
        <f xml:space="preserve"> IF($B$3="Yes", IF(A31=0, 0, IF(Buy_to_Let="Yes", (Rent_mth/Tolerance_ICR)*12/(Standard_Variable_Rate+'Metrics &amp; Drop Downs'!L26),0)), 0)</f>
        <v>0</v>
      </c>
      <c r="D31" s="3">
        <f t="shared" si="2"/>
        <v>0</v>
      </c>
      <c r="E31" s="3">
        <f t="shared" si="1"/>
        <v>0</v>
      </c>
      <c r="F31" s="3">
        <f>'Metrics &amp; Drop Downs'!K26</f>
        <v>5000000</v>
      </c>
      <c r="G31" s="3">
        <f>IF('Metrics &amp; Drop Downs'!X26="OK",IF(MIN(B31, E31, F31)&lt;'Metrics &amp; Drop Downs'!J26,0,ROUND(MIN(B31, E31, F31)-0.49,0)),0)</f>
        <v>0</v>
      </c>
      <c r="H31" s="91">
        <f>IF('Metrics &amp; Drop Downs'!X26="OK",IF(MIN(MAX(B31, D31), E31, F31)&lt;'Metrics &amp; Drop Downs'!J26,0,ROUND(MIN(MAX(B31, D31), E31, F31)-0.49,0)),0)</f>
        <v>0</v>
      </c>
      <c r="N31" s="34"/>
      <c r="P31" s="16"/>
    </row>
    <row r="32" spans="1:16" x14ac:dyDescent="0.25">
      <c r="A32" s="186" t="str">
        <f>'Metrics &amp; Drop Downs'!F27</f>
        <v>BTL 5 Year Fixed (CUF14): Min Loan £400k</v>
      </c>
      <c r="B32" s="3">
        <f>IF('Metrics &amp; Drop Downs'!P27="No", 0, IF(A32=0, 0, IF(Buy_to_Let="Yes", (Rent_mth/BTL_Affordability)*12/(Standard_Variable_Rate+'Metrics &amp; Drop Downs'!L27),0)))</f>
        <v>0</v>
      </c>
      <c r="C32" s="3">
        <f xml:space="preserve"> IF($B$3="Yes", IF(A32=0, 0, IF(Buy_to_Let="Yes", (Rent_mth/Tolerance_ICR)*12/(Standard_Variable_Rate+'Metrics &amp; Drop Downs'!L27),0)), 0)</f>
        <v>0</v>
      </c>
      <c r="D32" s="3">
        <f t="shared" si="2"/>
        <v>0</v>
      </c>
      <c r="E32" s="3">
        <f t="shared" si="1"/>
        <v>0</v>
      </c>
      <c r="F32" s="3">
        <f>'Metrics &amp; Drop Downs'!K27</f>
        <v>5000000</v>
      </c>
      <c r="G32" s="3">
        <f>IF('Metrics &amp; Drop Downs'!X27="OK",IF(MIN(B32, E32, F32)&lt;'Metrics &amp; Drop Downs'!J27,0,ROUND(MIN(B32, E32, F32)-0.49,0)),0)</f>
        <v>0</v>
      </c>
      <c r="H32" s="91">
        <f>IF('Metrics &amp; Drop Downs'!X27="OK",IF(MIN(MAX(B32, D32), E32, F32)&lt;'Metrics &amp; Drop Downs'!J27,0,ROUND(MIN(MAX(B32, D32), E32, F32)-0.49,0)),0)</f>
        <v>0</v>
      </c>
      <c r="N32" s="34"/>
      <c r="P32" s="16"/>
    </row>
    <row r="33" spans="1:16" x14ac:dyDescent="0.25">
      <c r="A33" s="202" t="str">
        <f>'Metrics &amp; Drop Downs'!F28</f>
        <v>BTL 5 Year Fixed (CUF13): Min Loan £200k</v>
      </c>
      <c r="B33" s="17">
        <f>IF('Metrics &amp; Drop Downs'!P28="No", 0, IF(A33=0, 0, IF(Buy_to_Let="Yes", (Rent_mth/BTL_Affordability)*12/(Standard_Variable_Rate+'Metrics &amp; Drop Downs'!L28),0)))</f>
        <v>0</v>
      </c>
      <c r="C33" s="17">
        <f xml:space="preserve"> IF($B$3="Yes", IF(A33=0, 0, IF(Buy_to_Let="Yes", (Rent_mth/Tolerance_ICR)*12/(Standard_Variable_Rate+'Metrics &amp; Drop Downs'!L28),0)), 0)</f>
        <v>0</v>
      </c>
      <c r="D33" s="17">
        <f t="shared" si="2"/>
        <v>0</v>
      </c>
      <c r="E33" s="17">
        <f t="shared" si="1"/>
        <v>0</v>
      </c>
      <c r="F33" s="17">
        <f>'Metrics &amp; Drop Downs'!K28</f>
        <v>5000000</v>
      </c>
      <c r="G33" s="17">
        <f>IF('Metrics &amp; Drop Downs'!X28="OK",IF(MIN(B33, E33, F33)&lt;'Metrics &amp; Drop Downs'!J28,0,ROUND(MIN(B33, E33, F33)-0.49,0)),0)</f>
        <v>0</v>
      </c>
      <c r="H33" s="23">
        <f>IF('Metrics &amp; Drop Downs'!X28="OK",IF(MIN(MAX(B33, D33), E33, F33)&lt;'Metrics &amp; Drop Downs'!J28,0,ROUND(MIN(MAX(B33, D33), E33, F33)-0.49,0)),0)</f>
        <v>0</v>
      </c>
      <c r="N33" s="34"/>
      <c r="P33" s="16"/>
    </row>
    <row r="34" spans="1:16" x14ac:dyDescent="0.25">
      <c r="B34" s="3"/>
      <c r="C34" s="3"/>
      <c r="D34" s="3"/>
      <c r="E34" s="3"/>
      <c r="N34" s="34"/>
      <c r="P34" s="16"/>
    </row>
    <row r="35" spans="1:16" x14ac:dyDescent="0.25">
      <c r="A35" s="14" t="s">
        <v>39</v>
      </c>
      <c r="B35" s="7"/>
      <c r="K35" s="13"/>
      <c r="O35" s="13"/>
    </row>
    <row r="36" spans="1:16" x14ac:dyDescent="0.25">
      <c r="A36" s="8" t="s">
        <v>40</v>
      </c>
      <c r="B36" s="18">
        <f>IF(Input!$B$49="Yes",'Metrics &amp; Drop Downs'!D20,'Metrics &amp; Drop Downs'!D10)</f>
        <v>0.75</v>
      </c>
      <c r="C36" s="145"/>
      <c r="D36" s="145"/>
    </row>
    <row r="37" spans="1:16" x14ac:dyDescent="0.25">
      <c r="A37" s="8" t="s">
        <v>41</v>
      </c>
      <c r="B37" s="18">
        <f>VLOOKUP(Amount_Requested, 'Metrics &amp; Drop Downs'!C35:E40, 3, TRUE)</f>
        <v>0.75</v>
      </c>
      <c r="C37" s="145"/>
      <c r="D37" s="145"/>
      <c r="J37" s="16"/>
      <c r="N37" s="16"/>
    </row>
    <row r="38" spans="1:16" x14ac:dyDescent="0.25">
      <c r="A38" s="10" t="s">
        <v>42</v>
      </c>
      <c r="B38" s="19">
        <f>MIN(B36:B37)</f>
        <v>0.75</v>
      </c>
      <c r="C38" s="145"/>
      <c r="D38" s="145"/>
      <c r="K38" s="13"/>
      <c r="O38" s="13"/>
    </row>
    <row r="40" spans="1:16" x14ac:dyDescent="0.25">
      <c r="A40" s="14" t="s">
        <v>30</v>
      </c>
      <c r="B40" s="7"/>
      <c r="J40" s="16"/>
      <c r="N40" s="16"/>
    </row>
    <row r="41" spans="1:16" x14ac:dyDescent="0.25">
      <c r="A41" s="20" t="e">
        <f>IF(LTV&gt;Overall_Max_LTV,"Declined","AIP")</f>
        <v>#DIV/0!</v>
      </c>
      <c r="B41" s="9" t="s">
        <v>19</v>
      </c>
      <c r="L41" s="16"/>
      <c r="N41" s="34"/>
      <c r="P41" s="16"/>
    </row>
    <row r="42" spans="1:16" x14ac:dyDescent="0.25">
      <c r="A42" s="20" t="str">
        <f>IF(Input!B49="No",IF(Amount_Requested&lt;Min_Valuation,"Declined","AIP"),IF(Amount_Requested&lt;'Metrics &amp; Drop Downs'!D21,"Declined","AIP"))</f>
        <v>Declined</v>
      </c>
      <c r="B42" s="9" t="s">
        <v>72</v>
      </c>
    </row>
    <row r="43" spans="1:16" x14ac:dyDescent="0.25">
      <c r="A43" s="20" t="str">
        <f>IF(MAX(First_App_Age, Second_App_Age)=0, "Declined", IF(MAX(First_App_Age, Second_App_Age)&gt;=Max_Joint_Age-5, "Declined", "AIP"))</f>
        <v>Declined</v>
      </c>
      <c r="B43" s="9" t="s">
        <v>154</v>
      </c>
      <c r="J43" s="146" t="s">
        <v>182</v>
      </c>
    </row>
    <row r="44" spans="1:16" x14ac:dyDescent="0.25">
      <c r="A44" s="20" t="str">
        <f>IF(B63="No", IF(Income&gt;='Metrics &amp; Drop Downs'!D16, "AIP", "Declined"), IF(Income&gt;=BTL_Min_Income,  "AIP", "Declined"))</f>
        <v>Declined</v>
      </c>
      <c r="B44" s="9" t="s">
        <v>85</v>
      </c>
    </row>
    <row r="45" spans="1:16" x14ac:dyDescent="0.25">
      <c r="A45" s="20" t="str">
        <f>IF(Input!$E$14=0,"AIP",IF(Input!$B$14+Input!$E$14&gt;='Metrics &amp; Drop Downs'!$D$18,"AIP","Declined"))</f>
        <v>AIP</v>
      </c>
      <c r="B45" s="9" t="s">
        <v>736</v>
      </c>
    </row>
    <row r="46" spans="1:16" x14ac:dyDescent="0.25">
      <c r="A46" s="20" t="str">
        <f>IF(Amount_Requested&gt;MAX(F10:F33), "Declined", "AIP")</f>
        <v>AIP</v>
      </c>
      <c r="B46" s="9" t="s">
        <v>167</v>
      </c>
    </row>
    <row r="47" spans="1:16" x14ac:dyDescent="0.25">
      <c r="A47" s="4" t="str">
        <f>IF('AIP Indicator'!G12="", IF(DoB_App_1&lt;=Max_App_Age, IF(DoB_App_1&gt;=Min_App_Age, "AIP","Declined"), "Declined"), IF(MIN(DoB_App_1,DoB_App_2)&lt;=Max_App_Age, IF(MIN(DoB_App_1,DoB_App_2)&gt;=Min_App_Age, "AIP","Declined"),"Declined"))</f>
        <v>Declined</v>
      </c>
      <c r="B47" s="9" t="s">
        <v>171</v>
      </c>
    </row>
    <row r="48" spans="1:16" x14ac:dyDescent="0.25">
      <c r="A48" s="20" t="str">
        <f>IF(Amount_Requested&gt;B7, "Declined", "AIP")</f>
        <v>AIP</v>
      </c>
      <c r="B48" s="9" t="s">
        <v>87</v>
      </c>
    </row>
    <row r="49" spans="1:4" x14ac:dyDescent="0.25">
      <c r="A49" s="20" t="str">
        <f>IF(Buy_to_Let="Yes", "AIP", "Declined")</f>
        <v>AIP</v>
      </c>
      <c r="B49" s="9" t="s">
        <v>86</v>
      </c>
    </row>
    <row r="50" spans="1:4" x14ac:dyDescent="0.25">
      <c r="A50" s="4" t="str">
        <f>IF(Requested_Term&gt;'AIP Indicator'!G26, "Declined", "AIP")</f>
        <v>AIP</v>
      </c>
      <c r="B50" s="9" t="s">
        <v>75</v>
      </c>
    </row>
    <row r="51" spans="1:4" x14ac:dyDescent="0.25">
      <c r="A51" s="4" t="str">
        <f>IF(OR('Risk Assessment New Client'!B11="Application Declined", 'Risk Assessment New Client'!C11="Application Declined"),"Declined", "AIP")</f>
        <v>AIP</v>
      </c>
      <c r="B51" s="9" t="s">
        <v>690</v>
      </c>
    </row>
    <row r="52" spans="1:4" x14ac:dyDescent="0.25">
      <c r="A52" s="4" t="str">
        <f>IF(AND('Risk Assessment New Client'!B13="Pass", 'Risk Assessment New Client'!C13="Pass"), "AIP", "Declined")</f>
        <v>Declined</v>
      </c>
      <c r="B52" s="9" t="s">
        <v>689</v>
      </c>
    </row>
    <row r="53" spans="1:4" x14ac:dyDescent="0.25">
      <c r="A53" s="4" t="str">
        <f>IF(OR('Risk Assessment New Client'!B11="Restricted Country", 'Risk Assessment New Client'!C11="Restricted Country"),"Declined", "AIP")</f>
        <v>AIP</v>
      </c>
      <c r="B53" s="9" t="s">
        <v>708</v>
      </c>
    </row>
    <row r="54" spans="1:4" x14ac:dyDescent="0.25">
      <c r="A54" s="20">
        <f>COUNTIF(A41:A53, "Declined")</f>
        <v>5</v>
      </c>
      <c r="B54" s="9" t="s">
        <v>31</v>
      </c>
    </row>
    <row r="55" spans="1:4" x14ac:dyDescent="0.25">
      <c r="A55" s="20">
        <f>COUNTIF(A41:A50, "Refer")</f>
        <v>0</v>
      </c>
      <c r="B55" s="9" t="s">
        <v>32</v>
      </c>
    </row>
    <row r="56" spans="1:4" x14ac:dyDescent="0.25">
      <c r="A56" s="20" t="str">
        <f>IF(A54&gt;0,"Declined",IF(A55&gt;0,"Refer","AIP"))</f>
        <v>Declined</v>
      </c>
      <c r="B56" s="9"/>
    </row>
    <row r="57" spans="1:4" x14ac:dyDescent="0.25">
      <c r="A57" s="21" t="str">
        <f>IF(A56="Refer", IF(Amount_Requested&gt;=Refer_Min, IF(Amount_Requested&lt;=Refer_Max, A56), "Declined"), A56)</f>
        <v>Declined</v>
      </c>
      <c r="B57" s="11" t="str">
        <f>VLOOKUP(A56, A41:B52, 2, FALSE)</f>
        <v>Minimum Mortgage Value</v>
      </c>
    </row>
    <row r="59" spans="1:4" x14ac:dyDescent="0.25">
      <c r="A59" s="14" t="s">
        <v>57</v>
      </c>
      <c r="B59" s="7"/>
    </row>
    <row r="60" spans="1:4" x14ac:dyDescent="0.25">
      <c r="A60" s="8" t="s">
        <v>58</v>
      </c>
      <c r="B60" s="9">
        <f>IF(SE_App_1="Yes", DoB_App_1-Refer_Age_Self_Employed+Refer_Age, DoB_App_1)</f>
        <v>0</v>
      </c>
    </row>
    <row r="61" spans="1:4" x14ac:dyDescent="0.25">
      <c r="A61" s="10" t="s">
        <v>59</v>
      </c>
      <c r="B61" s="11">
        <f>IF(SE_App_2="Yes", DoB_App_2-Refer_Age_Self_Employed+Refer_Age,DoB_App_2)</f>
        <v>0</v>
      </c>
    </row>
    <row r="63" spans="1:4" x14ac:dyDescent="0.25">
      <c r="A63" t="s">
        <v>84</v>
      </c>
      <c r="B63" s="4" t="str">
        <f>IF(SE_App_1="No",IF(SE_App_2="","No",IF(SE_App_2="No","Yes","No")), "No")</f>
        <v>Yes</v>
      </c>
      <c r="C63" s="4"/>
      <c r="D63" s="4"/>
    </row>
    <row r="81" spans="1:1" x14ac:dyDescent="0.25">
      <c r="A81" s="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9:E27"/>
  <sheetViews>
    <sheetView showGridLines="0" topLeftCell="A9" workbookViewId="0">
      <selection activeCell="C14" sqref="C14"/>
    </sheetView>
  </sheetViews>
  <sheetFormatPr defaultRowHeight="15" x14ac:dyDescent="0.25"/>
  <cols>
    <col min="1" max="1" width="149.42578125" customWidth="1"/>
  </cols>
  <sheetData>
    <row r="9" spans="1:1" ht="21.75" customHeight="1" x14ac:dyDescent="0.25"/>
    <row r="10" spans="1:1" ht="46.5" x14ac:dyDescent="0.7">
      <c r="A10" s="55" t="s">
        <v>64</v>
      </c>
    </row>
    <row r="11" spans="1:1" ht="26.25" customHeight="1" x14ac:dyDescent="0.25">
      <c r="A11" s="47"/>
    </row>
    <row r="12" spans="1:1" x14ac:dyDescent="0.25">
      <c r="A12" s="47" t="s">
        <v>63</v>
      </c>
    </row>
    <row r="13" spans="1:1" ht="7.5" customHeight="1" x14ac:dyDescent="0.25">
      <c r="A13" s="47"/>
    </row>
    <row r="14" spans="1:1" ht="31.5" x14ac:dyDescent="0.5">
      <c r="A14" s="56" t="str">
        <f>IF(OR('AIP Indicator'!B28="Declined",'AIP Indicator'!B28="Refer"),"****INPUT REQUIRED****",IF('AIP Indicator'!B28="AIP",CONCATENATE("£", Amount_Requested," at ",ROUND(LTV*100, 0),"% Loan To Value"), ""))</f>
        <v>****INPUT REQUIRED****</v>
      </c>
    </row>
    <row r="15" spans="1:1" ht="7.5" customHeight="1" x14ac:dyDescent="0.25">
      <c r="A15" s="48"/>
    </row>
    <row r="16" spans="1:1" x14ac:dyDescent="0.25">
      <c r="A16" s="48" t="s">
        <v>62</v>
      </c>
    </row>
    <row r="17" spans="1:5" ht="7.5" customHeight="1" x14ac:dyDescent="0.25">
      <c r="A17" s="51"/>
    </row>
    <row r="18" spans="1:5" ht="26.25" x14ac:dyDescent="0.4">
      <c r="A18" s="49" t="str">
        <f>IF('AIP Indicator'!E12="", CONCATENATE('AIP Indicator'!B11, " ", 'AIP Indicator'!C11, " ", 'AIP Indicator'!E11), CONCATENATE('AIP Indicator'!B11, " ", 'AIP Indicator'!C11, " ", 'AIP Indicator'!E11, " and ", 'AIP Indicator'!B12, " ", 'AIP Indicator'!C12, " ", 'AIP Indicator'!E12,))</f>
        <v xml:space="preserve">  </v>
      </c>
    </row>
    <row r="19" spans="1:5" ht="7.5" customHeight="1" x14ac:dyDescent="0.3">
      <c r="A19" s="50"/>
    </row>
    <row r="20" spans="1:5" ht="15" customHeight="1" x14ac:dyDescent="0.25">
      <c r="A20" s="48" t="s">
        <v>65</v>
      </c>
    </row>
    <row r="21" spans="1:5" ht="7.5" customHeight="1" x14ac:dyDescent="0.25">
      <c r="A21" s="48"/>
    </row>
    <row r="22" spans="1:5" ht="18.75" x14ac:dyDescent="0.3">
      <c r="A22" s="52">
        <f ca="1">TODAY()+90</f>
        <v>45624</v>
      </c>
    </row>
    <row r="23" spans="1:5" ht="105" customHeight="1" x14ac:dyDescent="0.25">
      <c r="A23" s="54" t="s">
        <v>66</v>
      </c>
      <c r="B23" s="46"/>
      <c r="C23" s="46"/>
      <c r="D23" s="46"/>
      <c r="E23" s="46"/>
    </row>
    <row r="27" spans="1:5" ht="15.75" x14ac:dyDescent="0.25">
      <c r="A27" s="53"/>
    </row>
  </sheetData>
  <sheetProtection selectLockedCells="1"/>
  <printOptions horizontalCentered="1" verticalCentered="1"/>
  <pageMargins left="0.19685039370078741" right="0.19685039370078741" top="0.19685039370078741" bottom="0.19685039370078741" header="0.31496062992125984" footer="0.31496062992125984"/>
  <pageSetup paperSize="9" scale="9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W61"/>
  <sheetViews>
    <sheetView topLeftCell="D1" zoomScale="115" zoomScaleNormal="115" workbookViewId="0">
      <selection activeCell="M10" sqref="M10"/>
    </sheetView>
  </sheetViews>
  <sheetFormatPr defaultRowHeight="15" x14ac:dyDescent="0.25"/>
  <cols>
    <col min="1" max="1" width="32.5703125" customWidth="1"/>
    <col min="2" max="2" width="10.5703125" customWidth="1"/>
    <col min="3" max="3" width="22.28515625" customWidth="1"/>
    <col min="4" max="4" width="14" customWidth="1"/>
    <col min="5" max="5" width="10.28515625" bestFit="1" customWidth="1"/>
    <col min="6" max="6" width="40.5703125" customWidth="1"/>
    <col min="10" max="10" width="14.42578125" customWidth="1"/>
    <col min="11" max="11" width="15.28515625" customWidth="1"/>
    <col min="12" max="12" width="14.42578125" customWidth="1"/>
    <col min="13" max="14" width="13.5703125" customWidth="1"/>
    <col min="15" max="15" width="9.28515625" customWidth="1"/>
    <col min="18" max="18" width="9.28515625" customWidth="1"/>
    <col min="20" max="21" width="16.28515625" style="47" customWidth="1"/>
    <col min="22" max="23" width="8.42578125" customWidth="1"/>
    <col min="27" max="27" width="42.42578125" customWidth="1"/>
    <col min="28" max="29" width="16.7109375" customWidth="1"/>
    <col min="30" max="30" width="12" customWidth="1"/>
    <col min="31" max="32" width="2.42578125" customWidth="1"/>
    <col min="33" max="33" width="45.42578125" customWidth="1"/>
    <col min="34" max="34" width="8.5703125" customWidth="1"/>
    <col min="35" max="35" width="9.28515625" style="87"/>
    <col min="36" max="36" width="12.28515625" customWidth="1"/>
    <col min="37" max="37" width="1.7109375" customWidth="1"/>
    <col min="38" max="38" width="2.42578125" customWidth="1"/>
    <col min="39" max="39" width="35.5703125" customWidth="1"/>
    <col min="40" max="40" width="7.42578125" customWidth="1"/>
    <col min="41" max="41" width="6.42578125" customWidth="1"/>
    <col min="42" max="43" width="11.42578125" customWidth="1"/>
    <col min="44" max="44" width="11.28515625" style="34" customWidth="1"/>
    <col min="45" max="45" width="2.42578125" customWidth="1"/>
    <col min="46" max="46" width="37.7109375" customWidth="1"/>
    <col min="47" max="47" width="9.28515625" style="83"/>
    <col min="48" max="48" width="9.28515625" style="87"/>
  </cols>
  <sheetData>
    <row r="1" spans="1:49" x14ac:dyDescent="0.25">
      <c r="G1" s="83"/>
      <c r="H1" s="83"/>
      <c r="J1" s="83"/>
      <c r="X1" t="str">
        <f>IF(OR(AND(Input!$B$47="Purchase",T1="No"),AND(Input!$B$47="Remortgage",T1="Yes"),AND(Input!B33="Yes")),"OK","")</f>
        <v/>
      </c>
    </row>
    <row r="2" spans="1:49" x14ac:dyDescent="0.25">
      <c r="L2" s="227" t="s">
        <v>49</v>
      </c>
      <c r="M2" s="227"/>
      <c r="N2" s="240" t="s">
        <v>38</v>
      </c>
      <c r="O2" s="240"/>
      <c r="P2" s="47" t="s">
        <v>163</v>
      </c>
      <c r="Q2" s="47"/>
      <c r="R2" s="227" t="s">
        <v>53</v>
      </c>
      <c r="S2" s="227"/>
      <c r="AA2" s="5" t="s">
        <v>54</v>
      </c>
      <c r="AB2" s="6" t="s">
        <v>25</v>
      </c>
      <c r="AC2" s="6" t="s">
        <v>79</v>
      </c>
      <c r="AD2" s="7" t="s">
        <v>53</v>
      </c>
      <c r="AG2" s="5" t="s">
        <v>54</v>
      </c>
      <c r="AH2" s="6" t="s">
        <v>25</v>
      </c>
      <c r="AI2" s="100" t="s">
        <v>79</v>
      </c>
      <c r="AJ2" s="7" t="s">
        <v>53</v>
      </c>
      <c r="AM2" s="5" t="s">
        <v>137</v>
      </c>
      <c r="AN2" s="6" t="s">
        <v>25</v>
      </c>
      <c r="AO2" s="100" t="s">
        <v>79</v>
      </c>
      <c r="AP2" s="7" t="s">
        <v>53</v>
      </c>
      <c r="AT2" s="5" t="s">
        <v>144</v>
      </c>
      <c r="AU2" s="99"/>
      <c r="AV2" s="100"/>
      <c r="AW2" s="7"/>
    </row>
    <row r="3" spans="1:49" x14ac:dyDescent="0.25">
      <c r="A3" s="12" t="s">
        <v>7</v>
      </c>
      <c r="C3" s="5" t="s">
        <v>14</v>
      </c>
      <c r="D3" s="7"/>
      <c r="F3" s="5" t="s">
        <v>24</v>
      </c>
      <c r="G3" s="6" t="s">
        <v>25</v>
      </c>
      <c r="H3" s="6" t="s">
        <v>79</v>
      </c>
      <c r="I3" s="6" t="s">
        <v>28</v>
      </c>
      <c r="J3" s="6" t="s">
        <v>81</v>
      </c>
      <c r="K3" s="6" t="s">
        <v>20</v>
      </c>
      <c r="L3" s="6" t="s">
        <v>47</v>
      </c>
      <c r="M3" s="6" t="s">
        <v>48</v>
      </c>
      <c r="N3" s="36" t="s">
        <v>136</v>
      </c>
      <c r="O3" s="36" t="s">
        <v>50</v>
      </c>
      <c r="P3" s="36" t="s">
        <v>136</v>
      </c>
      <c r="Q3" s="36" t="s">
        <v>692</v>
      </c>
      <c r="R3" s="36" t="s">
        <v>164</v>
      </c>
      <c r="S3" s="36" t="s">
        <v>165</v>
      </c>
      <c r="T3" s="36" t="s">
        <v>166</v>
      </c>
      <c r="U3" s="37" t="s">
        <v>699</v>
      </c>
      <c r="V3" s="47" t="s">
        <v>692</v>
      </c>
      <c r="AA3" s="8"/>
      <c r="AD3" s="9"/>
      <c r="AG3" s="8"/>
      <c r="AH3" s="83"/>
      <c r="AJ3" s="91"/>
      <c r="AM3" s="8"/>
      <c r="AN3" s="83"/>
      <c r="AO3" s="87"/>
      <c r="AP3" s="9"/>
      <c r="AT3" s="8"/>
      <c r="AW3" s="9"/>
    </row>
    <row r="4" spans="1:49" x14ac:dyDescent="0.25">
      <c r="A4" s="39" t="s">
        <v>4</v>
      </c>
      <c r="C4" s="8" t="s">
        <v>80</v>
      </c>
      <c r="D4" s="40">
        <v>1</v>
      </c>
      <c r="F4" s="190" t="s">
        <v>71</v>
      </c>
      <c r="G4" s="191">
        <v>7.4899999999999994E-2</v>
      </c>
      <c r="H4" s="192"/>
      <c r="I4" s="193">
        <v>0.75</v>
      </c>
      <c r="J4" s="194">
        <v>100000</v>
      </c>
      <c r="K4" s="194">
        <v>5000000</v>
      </c>
      <c r="L4" s="191">
        <f t="shared" ref="L4:L29" si="0">IF(U4="Fixed",G4-$G$4,$A$61-Standard_Variable_Rate)</f>
        <v>5.0000000000000044E-3</v>
      </c>
      <c r="M4" s="191"/>
      <c r="N4" s="195">
        <v>30</v>
      </c>
      <c r="O4" s="195"/>
      <c r="P4" s="196" t="s">
        <v>52</v>
      </c>
      <c r="Q4" s="194"/>
      <c r="R4" s="194">
        <v>1999</v>
      </c>
      <c r="S4" s="194"/>
      <c r="T4" s="197" t="s">
        <v>52</v>
      </c>
      <c r="U4" s="198" t="s">
        <v>700</v>
      </c>
      <c r="W4" s="47" t="s">
        <v>694</v>
      </c>
      <c r="AA4" s="8"/>
      <c r="AB4" s="82" t="str">
        <f>IF(P4="Yes", G4, "")</f>
        <v/>
      </c>
      <c r="AC4" s="86"/>
      <c r="AD4" s="91">
        <f>IF(Input!$B$47="Purchase", R4, S4)</f>
        <v>1999</v>
      </c>
      <c r="AG4" s="8" t="str">
        <f>IFERROR(INDEX(AA$4:AA$33,MATCH(ROW()-ROW(AG$3),$AB$4:$AB$33,0)),"")</f>
        <v/>
      </c>
      <c r="AH4" s="83" t="str">
        <f>IFERROR(INDEX(AB$4:AB$33,MATCH(ROW()-ROW(AH$3),$AB$4:$AB$33,0)),"")</f>
        <v/>
      </c>
      <c r="AI4" s="87" t="str">
        <f>IFERROR(INDEX(AC$4:AC$33,MATCH(ROW()-ROW(AI$3),$AB$4:$AB$33,0)),"")</f>
        <v/>
      </c>
      <c r="AJ4" s="91" t="str">
        <f>IFERROR(INDEX(AD$4:AD$33,MATCH(ROW()-ROW(AJ$3),$AB$4:$AB$33,0)),"")</f>
        <v/>
      </c>
      <c r="AM4" s="8" t="str">
        <f t="shared" ref="AM4:AM30" si="1">IFERROR(INDEX(AG$4:AG$35,MATCH(ROW()-ROW(AM$3),$AF$4:$AF$35,0)),"")</f>
        <v/>
      </c>
      <c r="AN4" s="83" t="str">
        <f t="shared" ref="AN4:AN30" si="2">IFERROR(INDEX(AH$4:AH$35,MATCH(ROW()-ROW(AN$3),$AF$4:$AF$35,0)),"")</f>
        <v/>
      </c>
      <c r="AO4" s="87" t="str">
        <f t="shared" ref="AO4:AO30" si="3">IFERROR(INDEX(AI$4:AI$35,MATCH(ROW()-ROW(AO$3),$AF$4:$AF$35,0)),"")</f>
        <v/>
      </c>
      <c r="AP4" s="91" t="str">
        <f t="shared" ref="AP4:AP30" si="4">IFERROR(INDEX(AJ$4:AJ$35,MATCH(ROW()-ROW(AP$3),$AF$4:$AF$35,0)),"")</f>
        <v/>
      </c>
      <c r="AQ4" s="3" t="str">
        <f t="shared" ref="AQ4:AQ9" si="5">IF(AM4="", "", ROUND(Amount_Requested*AN4/12,2))</f>
        <v/>
      </c>
      <c r="AR4" s="34" t="str">
        <f>IF(ISERR(C_and_I), "", C_and_I)</f>
        <v/>
      </c>
      <c r="AS4" t="str">
        <f>IF(AM4="","","|")</f>
        <v/>
      </c>
      <c r="AT4" s="8" t="str">
        <f t="shared" ref="AT4:AT30" si="6">IFERROR(INDEX(AA$4:AA$30,MATCH(ROW()-ROW(AT$3),$Y$4:$Y$30,0)),"")</f>
        <v>BTL 5 Year Fixed (UF080): Min Loan £500k</v>
      </c>
      <c r="AU4" s="83">
        <f t="shared" ref="AU4:AU30" si="7">IFERROR(INDEX(AB$4:AB$30,MATCH(ROW()-ROW(AU$3),$Y$4:$Y$30,0)),"")</f>
        <v>5.9900000000000002E-2</v>
      </c>
      <c r="AV4" s="87">
        <f t="shared" ref="AV4:AV30" si="8">IFERROR(INDEX(AC$4:AC$30,MATCH(ROW()-ROW(AV$3),$Y$4:$Y$30,0)),"")</f>
        <v>7.0000000000000007E-2</v>
      </c>
      <c r="AW4" s="91">
        <f t="shared" ref="AW4:AW30" si="9">IFERROR(INDEX(AD$4:AD$30,MATCH(ROW()-ROW(AW$3),$Y$4:$Y$30,0)),"")</f>
        <v>1999</v>
      </c>
    </row>
    <row r="5" spans="1:49" x14ac:dyDescent="0.25">
      <c r="A5" s="39" t="s">
        <v>5</v>
      </c>
      <c r="C5" s="8" t="s">
        <v>11</v>
      </c>
      <c r="D5" s="40">
        <v>0.5</v>
      </c>
      <c r="F5" s="190" t="s">
        <v>721</v>
      </c>
      <c r="G5" s="191">
        <v>6.8900000000000003E-2</v>
      </c>
      <c r="H5" s="192">
        <v>7.3999999999999996E-2</v>
      </c>
      <c r="I5" s="193">
        <v>0.75</v>
      </c>
      <c r="J5" s="194">
        <v>100000</v>
      </c>
      <c r="K5" s="194">
        <v>399999</v>
      </c>
      <c r="L5" s="191">
        <f t="shared" si="0"/>
        <v>5.0000000000000044E-3</v>
      </c>
      <c r="M5" s="191"/>
      <c r="N5" s="195">
        <v>30</v>
      </c>
      <c r="O5" s="195"/>
      <c r="P5" s="196" t="s">
        <v>52</v>
      </c>
      <c r="Q5" s="194"/>
      <c r="R5" s="194">
        <v>1999</v>
      </c>
      <c r="S5" s="194"/>
      <c r="T5" s="197" t="s">
        <v>52</v>
      </c>
      <c r="U5" s="198" t="s">
        <v>700</v>
      </c>
      <c r="V5" t="str">
        <f>IF(OR(AND(Input!$B$47="Purchase",T5="No",Input!$B$49="yes",Q5="yes",P5="Yes"),AND(Input!$B$47="Remortgage",T5="Yes",Input!$B$49="yes",Q5="yes",P5="Yes")),"OK","")</f>
        <v/>
      </c>
      <c r="W5" t="str">
        <f>IF(OR(AND(Input!$B$47="Purchase",T5="No",Input!$B$49="No",Q5="",P5="Yes"),AND(Input!$B$47="Remortgage",T5="Yes",Input!$B$49="No",Q5="",P5="Yes")),"OK","")</f>
        <v/>
      </c>
      <c r="X5" t="str">
        <f>IF(OR(V5="OK",W5="OK"),"OK","")</f>
        <v/>
      </c>
      <c r="Y5" t="str">
        <f>IF(AA5="", "", MAX(Y$4:$Y4)+1)</f>
        <v/>
      </c>
      <c r="AA5" s="8" t="str">
        <f t="shared" ref="AA5:AA30" si="10">IF(V5="OK",F5,IF(X5="OK",F5,""))</f>
        <v/>
      </c>
      <c r="AB5" s="82" t="str">
        <f t="shared" ref="AB5:AB35" si="11">IF(AA5="", "", G5)</f>
        <v/>
      </c>
      <c r="AC5" s="86" t="str">
        <f t="shared" ref="AC5:AC35" si="12">IF(AA5="", "", H5)</f>
        <v/>
      </c>
      <c r="AD5" s="91">
        <f>IF(Input!$B$47="Purchase", R5, S5)</f>
        <v>1999</v>
      </c>
      <c r="AE5" t="str">
        <f>IF(AA5="","","|")</f>
        <v/>
      </c>
      <c r="AF5" t="str">
        <f>IF(AG5="", "", MAX(AF$4:$AF4)+1)</f>
        <v/>
      </c>
      <c r="AG5" s="8" t="str">
        <f>IF(AND(AND(Amount_Requested&gt;=J5, Amount_Requested&lt;=K5,  Amount_Requested&lt;=MAX(Calculations!G10:H10), OR(Amount_Requested&lt;=MIN(Calculations!B10,Refer_Min), Amount_Requested&gt;=MIN(Calculations!D10,Refer_Min)), Calculations!$A$57="AIP")),AA5, "")</f>
        <v/>
      </c>
      <c r="AH5" s="83" t="str">
        <f>IF($AG5="", "",AB5)</f>
        <v/>
      </c>
      <c r="AI5" s="87" t="str">
        <f>IF($AG5="", "",AC5)</f>
        <v/>
      </c>
      <c r="AJ5" s="91" t="str">
        <f>IF($AG5="", "",AD5)</f>
        <v/>
      </c>
      <c r="AK5" t="str">
        <f>IF(AG5="","","|")</f>
        <v/>
      </c>
      <c r="AM5" s="8" t="str">
        <f t="shared" si="1"/>
        <v/>
      </c>
      <c r="AN5" s="83" t="str">
        <f t="shared" si="2"/>
        <v/>
      </c>
      <c r="AO5" s="87" t="str">
        <f t="shared" si="3"/>
        <v/>
      </c>
      <c r="AP5" s="91" t="str">
        <f t="shared" si="4"/>
        <v/>
      </c>
      <c r="AQ5" s="3" t="str">
        <f t="shared" si="5"/>
        <v/>
      </c>
      <c r="AR5" s="34" t="str">
        <f>IF(ISERR(Calculations!O4), "", Calculations!O4)</f>
        <v/>
      </c>
      <c r="AS5" t="str">
        <f t="shared" ref="AS5:AS9" si="13">IF(AM5="","","|")</f>
        <v/>
      </c>
      <c r="AT5" s="8" t="str">
        <f t="shared" si="6"/>
        <v>BTL 5 Year Fixed (UF079): Min Loan £200k</v>
      </c>
      <c r="AU5" s="83">
        <f t="shared" si="7"/>
        <v>6.2899999999999998E-2</v>
      </c>
      <c r="AV5" s="87">
        <f t="shared" si="8"/>
        <v>7.0999999999999994E-2</v>
      </c>
      <c r="AW5" s="91">
        <f t="shared" si="9"/>
        <v>1999</v>
      </c>
    </row>
    <row r="6" spans="1:49" x14ac:dyDescent="0.25">
      <c r="A6" s="39" t="s">
        <v>6</v>
      </c>
      <c r="C6" s="8" t="s">
        <v>12</v>
      </c>
      <c r="D6" s="40">
        <v>0.5</v>
      </c>
      <c r="F6" s="190" t="s">
        <v>714</v>
      </c>
      <c r="G6" s="191">
        <v>7.0900000000000005E-2</v>
      </c>
      <c r="H6" s="192">
        <v>7.3999999999999996E-2</v>
      </c>
      <c r="I6" s="193">
        <v>0.75</v>
      </c>
      <c r="J6" s="194">
        <v>100000</v>
      </c>
      <c r="K6" s="194">
        <v>399999</v>
      </c>
      <c r="L6" s="191">
        <f t="shared" si="0"/>
        <v>5.0000000000000044E-3</v>
      </c>
      <c r="M6" s="191"/>
      <c r="N6" s="195">
        <v>30</v>
      </c>
      <c r="O6" s="195"/>
      <c r="P6" s="196" t="s">
        <v>52</v>
      </c>
      <c r="Q6" s="194"/>
      <c r="R6" s="194">
        <v>1999</v>
      </c>
      <c r="S6" s="194"/>
      <c r="T6" s="197" t="s">
        <v>52</v>
      </c>
      <c r="U6" s="198" t="s">
        <v>700</v>
      </c>
      <c r="V6" t="str">
        <f>IF(OR(AND(Input!$B$47="Purchase",T6="No",Input!$B$49="yes",Q6="yes",P6="Yes"),AND(Input!$B$47="Remortgage",T6="Yes",Input!$B$49="yes",Q6="yes",P6="Yes")),"OK","")</f>
        <v/>
      </c>
      <c r="W6" t="str">
        <f>IF(OR(AND(Input!$B$47="Purchase",T6="No",Input!$B$49="No",Q6="",P6="Yes"),AND(Input!$B$47="Remortgage",T6="Yes",Input!$B$49="No",Q6="",P6="Yes")),"OK","")</f>
        <v/>
      </c>
      <c r="X6" t="str">
        <f t="shared" ref="X6:X30" si="14">IF(OR(V6="OK",W6="OK"),"OK","")</f>
        <v/>
      </c>
      <c r="Y6" t="str">
        <f>IF(AA6="", "", MAX(Y$4:$Y5)+1)</f>
        <v/>
      </c>
      <c r="AA6" s="8" t="str">
        <f>IF(V6="OK",F6,IF(X6="OK",F6,""))</f>
        <v/>
      </c>
      <c r="AB6" s="82" t="str">
        <f>IF(AA6="", "", G6)</f>
        <v/>
      </c>
      <c r="AC6" s="86" t="str">
        <f>IF(AA6="", "", H6)</f>
        <v/>
      </c>
      <c r="AD6" s="91">
        <f>IF(Input!$B$47="Purchase", R6, S6)</f>
        <v>1999</v>
      </c>
      <c r="AE6" t="str">
        <f t="shared" ref="AE6:AE35" si="15">IF(AA6="","","|")</f>
        <v/>
      </c>
      <c r="AF6" t="str">
        <f>IF(AG6="", "", MAX(AF$4:$AF5)+1)</f>
        <v/>
      </c>
      <c r="AG6" s="8" t="str">
        <f>IF(AND(AND(Amount_Requested&gt;=J6, Amount_Requested&lt;=K6,  Amount_Requested&lt;=MAX(Calculations!G11:H11), OR(Amount_Requested&lt;=MIN(Calculations!B11,Refer_Min), Amount_Requested&gt;=MIN(Calculations!D11,Refer_Min)), Calculations!$A$57="AIP")),AA6, "")</f>
        <v/>
      </c>
      <c r="AH6" s="83" t="str">
        <f t="shared" ref="AH6:AH13" si="16">IF($AG6="", "",AB6)</f>
        <v/>
      </c>
      <c r="AI6" s="87" t="str">
        <f t="shared" ref="AI6:AI13" si="17">IF($AG6="", "",AC6)</f>
        <v/>
      </c>
      <c r="AJ6" s="91" t="str">
        <f t="shared" ref="AJ6:AJ13" si="18">IF($AG6="", "",AD6)</f>
        <v/>
      </c>
      <c r="AK6" t="str">
        <f t="shared" ref="AK6:AK35" si="19">IF(AG6="","","|")</f>
        <v/>
      </c>
      <c r="AM6" s="8" t="str">
        <f t="shared" si="1"/>
        <v/>
      </c>
      <c r="AN6" s="83" t="str">
        <f t="shared" si="2"/>
        <v/>
      </c>
      <c r="AO6" s="87" t="str">
        <f t="shared" si="3"/>
        <v/>
      </c>
      <c r="AP6" s="91" t="str">
        <f t="shared" si="4"/>
        <v/>
      </c>
      <c r="AQ6" s="3" t="str">
        <f t="shared" si="5"/>
        <v/>
      </c>
      <c r="AR6" s="34" t="str">
        <f>IF(ISERR(Calculations!S4), "", Calculations!S4)</f>
        <v/>
      </c>
      <c r="AS6" t="str">
        <f t="shared" si="13"/>
        <v/>
      </c>
      <c r="AT6" s="8" t="str">
        <f t="shared" si="6"/>
        <v/>
      </c>
      <c r="AU6" s="83" t="str">
        <f t="shared" si="7"/>
        <v/>
      </c>
      <c r="AV6" s="87" t="str">
        <f t="shared" si="8"/>
        <v/>
      </c>
      <c r="AW6" s="91" t="str">
        <f t="shared" si="9"/>
        <v/>
      </c>
    </row>
    <row r="7" spans="1:49" x14ac:dyDescent="0.25">
      <c r="A7" s="39" t="s">
        <v>8</v>
      </c>
      <c r="C7" s="8" t="s">
        <v>77</v>
      </c>
      <c r="D7" s="40">
        <v>1</v>
      </c>
      <c r="F7" s="190" t="s">
        <v>722</v>
      </c>
      <c r="G7" s="191">
        <v>6.4899999999999999E-2</v>
      </c>
      <c r="H7" s="192">
        <v>7.1999999999999995E-2</v>
      </c>
      <c r="I7" s="193">
        <v>0.75</v>
      </c>
      <c r="J7" s="194">
        <v>400000</v>
      </c>
      <c r="K7" s="194">
        <v>5000000</v>
      </c>
      <c r="L7" s="191">
        <f t="shared" si="0"/>
        <v>5.0000000000000044E-3</v>
      </c>
      <c r="M7" s="191"/>
      <c r="N7" s="195">
        <v>30</v>
      </c>
      <c r="O7" s="195"/>
      <c r="P7" s="196" t="s">
        <v>52</v>
      </c>
      <c r="Q7" s="194"/>
      <c r="R7" s="194">
        <v>1999</v>
      </c>
      <c r="S7" s="194"/>
      <c r="T7" s="197" t="s">
        <v>52</v>
      </c>
      <c r="U7" s="198" t="s">
        <v>700</v>
      </c>
      <c r="V7" t="str">
        <f>IF(OR(AND(Input!$B$47="Purchase",T7="No",Input!$B$49="yes",Q7="yes",P7="Yes"),AND(Input!$B$47="Remortgage",T7="Yes",Input!$B$49="yes",Q7="yes",P7="Yes")),"OK","")</f>
        <v/>
      </c>
      <c r="W7" t="str">
        <f>IF(OR(AND(Input!$B$47="Purchase",T7="No",Input!$B$49="No",Q7="",P7="Yes"),AND(Input!$B$47="Remortgage",T7="Yes",Input!$B$49="No",Q7="",P7="Yes")),"OK","")</f>
        <v/>
      </c>
      <c r="X7" t="str">
        <f t="shared" si="14"/>
        <v/>
      </c>
      <c r="Y7" t="str">
        <f>IF(AA7="", "", MAX(Y$4:$Y6)+1)</f>
        <v/>
      </c>
      <c r="AA7" s="8" t="str">
        <f>IF(V7="OK",F7,IF(X7="OK",F7,""))</f>
        <v/>
      </c>
      <c r="AB7" s="82" t="str">
        <f>IF(AA7="", "", G7)</f>
        <v/>
      </c>
      <c r="AC7" s="86" t="str">
        <f>IF(AA7="", "", H7)</f>
        <v/>
      </c>
      <c r="AD7" s="91">
        <f>IF(Input!$B$47="Purchase", R7, S7)</f>
        <v>1999</v>
      </c>
      <c r="AE7" t="str">
        <f t="shared" si="15"/>
        <v/>
      </c>
      <c r="AF7" t="str">
        <f>IF(AG7="", "", MAX(AF$4:$AF6)+1)</f>
        <v/>
      </c>
      <c r="AG7" s="8" t="str">
        <f>IF(AND(AND(Amount_Requested&gt;=J7, Amount_Requested&lt;=K7,  Amount_Requested&lt;=MAX(Calculations!G12:H12), OR(Amount_Requested&lt;=MIN(Calculations!B12,Refer_Min), Amount_Requested&gt;=MIN(Calculations!D12,Refer_Min)), Calculations!$A$57="AIP")),AA7, "")</f>
        <v/>
      </c>
      <c r="AH7" s="83" t="str">
        <f t="shared" si="16"/>
        <v/>
      </c>
      <c r="AI7" s="87" t="str">
        <f t="shared" si="17"/>
        <v/>
      </c>
      <c r="AJ7" s="91" t="str">
        <f t="shared" si="18"/>
        <v/>
      </c>
      <c r="AK7" t="str">
        <f t="shared" si="19"/>
        <v/>
      </c>
      <c r="AM7" s="8" t="str">
        <f t="shared" si="1"/>
        <v/>
      </c>
      <c r="AN7" s="83" t="str">
        <f t="shared" si="2"/>
        <v/>
      </c>
      <c r="AO7" s="87" t="str">
        <f t="shared" si="3"/>
        <v/>
      </c>
      <c r="AP7" s="91" t="str">
        <f t="shared" si="4"/>
        <v/>
      </c>
      <c r="AQ7" s="3" t="str">
        <f t="shared" si="5"/>
        <v/>
      </c>
      <c r="AR7" s="34" t="str">
        <f>IF(ISERR(Calculations!W4), "", Calculations!W4)</f>
        <v/>
      </c>
      <c r="AS7" t="str">
        <f t="shared" si="13"/>
        <v/>
      </c>
      <c r="AT7" s="8" t="str">
        <f t="shared" si="6"/>
        <v/>
      </c>
      <c r="AU7" s="83" t="str">
        <f t="shared" si="7"/>
        <v/>
      </c>
      <c r="AV7" s="87" t="str">
        <f t="shared" si="8"/>
        <v/>
      </c>
      <c r="AW7" s="91" t="str">
        <f t="shared" si="9"/>
        <v/>
      </c>
    </row>
    <row r="8" spans="1:49" x14ac:dyDescent="0.25">
      <c r="A8" s="39"/>
      <c r="C8" s="10" t="s">
        <v>43</v>
      </c>
      <c r="D8" s="41">
        <v>0.5</v>
      </c>
      <c r="F8" s="210" t="s">
        <v>739</v>
      </c>
      <c r="G8" s="211">
        <v>5.9900000000000002E-2</v>
      </c>
      <c r="H8" s="212">
        <v>7.0000000000000007E-2</v>
      </c>
      <c r="I8" s="213">
        <v>0.75</v>
      </c>
      <c r="J8" s="214">
        <v>500000</v>
      </c>
      <c r="K8" s="214">
        <v>5000000</v>
      </c>
      <c r="L8" s="211">
        <f t="shared" si="0"/>
        <v>-1.4999999999999993E-2</v>
      </c>
      <c r="M8" s="211"/>
      <c r="N8" s="215">
        <v>30</v>
      </c>
      <c r="O8" s="215"/>
      <c r="P8" s="216" t="s">
        <v>51</v>
      </c>
      <c r="Q8" s="214"/>
      <c r="R8" s="214">
        <v>1999</v>
      </c>
      <c r="S8" s="214"/>
      <c r="T8" s="217" t="s">
        <v>52</v>
      </c>
      <c r="U8" s="218" t="s">
        <v>701</v>
      </c>
      <c r="V8" t="str">
        <f>IF(OR(AND(Input!$B$47="Purchase",T8="No",Input!$B$49="yes",Q8="yes",P8="Yes"),AND(Input!$B$47="Remortgage",T8="Yes",Input!$B$49="yes",Q8="yes",P8="Yes")),"OK","")</f>
        <v/>
      </c>
      <c r="W8" t="str">
        <f>IF(OR(AND(Input!$B$47="Purchase",T8="No",Input!$B$49="No",Q8="",P8="Yes"),AND(Input!$B$47="Remortgage",T8="Yes",Input!$B$49="No",Q8="",P8="Yes")),"OK","")</f>
        <v>OK</v>
      </c>
      <c r="X8" t="str">
        <f t="shared" si="14"/>
        <v>OK</v>
      </c>
      <c r="Y8">
        <f>IF(AA8="", "", MAX(Y$4:$Y7)+1)</f>
        <v>1</v>
      </c>
      <c r="AA8" s="8" t="str">
        <f>IF(V8="OK",F8,IF(X8="OK",F8,""))</f>
        <v>BTL 5 Year Fixed (UF080): Min Loan £500k</v>
      </c>
      <c r="AB8" s="82">
        <f>IF(AA8="", "", G8)</f>
        <v>5.9900000000000002E-2</v>
      </c>
      <c r="AC8" s="86">
        <f>IF(AA8="", "", H8)</f>
        <v>7.0000000000000007E-2</v>
      </c>
      <c r="AD8" s="91">
        <f>IF(Input!$B$47="Purchase", R8, S8)</f>
        <v>1999</v>
      </c>
      <c r="AE8" t="str">
        <f t="shared" si="15"/>
        <v>|</v>
      </c>
      <c r="AF8" t="str">
        <f>IF(AG8="", "", MAX(AF$4:$AF7)+1)</f>
        <v/>
      </c>
      <c r="AG8" s="8" t="str">
        <f>IF(AND(AND(Amount_Requested&gt;=J8, Amount_Requested&lt;=K8,  Amount_Requested&lt;=MAX(Calculations!G13:H13), OR(Amount_Requested&lt;=MIN(Calculations!B13,Refer_Min), Amount_Requested&gt;=MIN(Calculations!D13,Refer_Min)), Calculations!$A$57="AIP")),AA8, "")</f>
        <v/>
      </c>
      <c r="AH8" s="83" t="str">
        <f t="shared" si="16"/>
        <v/>
      </c>
      <c r="AI8" s="87" t="str">
        <f t="shared" si="17"/>
        <v/>
      </c>
      <c r="AJ8" s="91" t="str">
        <f t="shared" si="18"/>
        <v/>
      </c>
      <c r="AK8" t="str">
        <f t="shared" si="19"/>
        <v/>
      </c>
      <c r="AM8" s="8" t="str">
        <f t="shared" si="1"/>
        <v/>
      </c>
      <c r="AN8" s="83" t="str">
        <f t="shared" si="2"/>
        <v/>
      </c>
      <c r="AO8" s="87" t="str">
        <f t="shared" si="3"/>
        <v/>
      </c>
      <c r="AP8" s="91" t="str">
        <f t="shared" si="4"/>
        <v/>
      </c>
      <c r="AQ8" s="3" t="str">
        <f t="shared" si="5"/>
        <v/>
      </c>
      <c r="AR8" s="34" t="str">
        <f>IF(ISERR(Calculations!AA4), "", Calculations!AA4)</f>
        <v/>
      </c>
      <c r="AS8" t="str">
        <f t="shared" si="13"/>
        <v/>
      </c>
      <c r="AT8" s="8" t="str">
        <f t="shared" si="6"/>
        <v/>
      </c>
      <c r="AU8" s="83" t="str">
        <f t="shared" si="7"/>
        <v/>
      </c>
      <c r="AV8" s="87" t="str">
        <f t="shared" si="8"/>
        <v/>
      </c>
      <c r="AW8" s="91" t="str">
        <f t="shared" si="9"/>
        <v/>
      </c>
    </row>
    <row r="9" spans="1:49" x14ac:dyDescent="0.25">
      <c r="A9" s="39"/>
      <c r="D9" s="106"/>
      <c r="F9" s="210" t="s">
        <v>738</v>
      </c>
      <c r="G9" s="211">
        <v>6.2899999999999998E-2</v>
      </c>
      <c r="H9" s="212">
        <v>7.0999999999999994E-2</v>
      </c>
      <c r="I9" s="213">
        <v>0.75</v>
      </c>
      <c r="J9" s="214">
        <v>200000</v>
      </c>
      <c r="K9" s="242">
        <v>499999.99</v>
      </c>
      <c r="L9" s="211">
        <f t="shared" si="0"/>
        <v>-1.1999999999999997E-2</v>
      </c>
      <c r="M9" s="211"/>
      <c r="N9" s="215">
        <v>30</v>
      </c>
      <c r="O9" s="215"/>
      <c r="P9" s="216" t="s">
        <v>51</v>
      </c>
      <c r="Q9" s="214"/>
      <c r="R9" s="214">
        <v>1999</v>
      </c>
      <c r="S9" s="214"/>
      <c r="T9" s="217" t="s">
        <v>52</v>
      </c>
      <c r="U9" s="218" t="s">
        <v>701</v>
      </c>
      <c r="V9" t="str">
        <f>IF(OR(AND(Input!$B$47="Purchase",T9="No",Input!$B$49="yes",Q9="yes",P9="Yes"),AND(Input!$B$47="Remortgage",T9="Yes",Input!$B$49="yes",Q9="yes",P9="Yes")),"OK","")</f>
        <v/>
      </c>
      <c r="W9" t="str">
        <f>IF(OR(AND(Input!$B$47="Purchase",T9="No",Input!$B$49="No",Q9="",P9="Yes"),AND(Input!$B$47="Remortgage",T9="Yes",Input!$B$49="No",Q9="",P9="Yes")),"OK","")</f>
        <v>OK</v>
      </c>
      <c r="X9" t="str">
        <f t="shared" si="14"/>
        <v>OK</v>
      </c>
      <c r="Y9">
        <f>IF(AA9="", "", MAX(Y$4:$Y8)+1)</f>
        <v>2</v>
      </c>
      <c r="AA9" s="8" t="str">
        <f t="shared" si="10"/>
        <v>BTL 5 Year Fixed (UF079): Min Loan £200k</v>
      </c>
      <c r="AB9" s="82">
        <f t="shared" si="11"/>
        <v>6.2899999999999998E-2</v>
      </c>
      <c r="AC9" s="86">
        <f t="shared" si="12"/>
        <v>7.0999999999999994E-2</v>
      </c>
      <c r="AD9" s="91">
        <f>IF(Input!$B$47="Purchase", R9, S9)</f>
        <v>1999</v>
      </c>
      <c r="AE9" t="str">
        <f t="shared" si="15"/>
        <v>|</v>
      </c>
      <c r="AF9" t="str">
        <f>IF(AG9="", "", MAX(AF$4:$AF8)+1)</f>
        <v/>
      </c>
      <c r="AG9" s="8" t="str">
        <f>IF(AND(AND(Amount_Requested&gt;=J9, Amount_Requested&lt;=K9,  Amount_Requested&lt;=MAX(Calculations!G14:H14), OR(Amount_Requested&lt;=MIN(Calculations!B14,Refer_Min), Amount_Requested&gt;=MIN(Calculations!D14,Refer_Min)), Calculations!$A$57="AIP")),AA9, "")</f>
        <v/>
      </c>
      <c r="AH9" s="83" t="str">
        <f t="shared" si="16"/>
        <v/>
      </c>
      <c r="AI9" s="87" t="str">
        <f t="shared" si="17"/>
        <v/>
      </c>
      <c r="AJ9" s="91" t="str">
        <f t="shared" si="18"/>
        <v/>
      </c>
      <c r="AK9" t="str">
        <f t="shared" si="19"/>
        <v/>
      </c>
      <c r="AM9" s="8" t="str">
        <f t="shared" si="1"/>
        <v/>
      </c>
      <c r="AN9" s="83" t="str">
        <f t="shared" si="2"/>
        <v/>
      </c>
      <c r="AO9" s="87" t="str">
        <f t="shared" si="3"/>
        <v/>
      </c>
      <c r="AP9" s="91" t="str">
        <f t="shared" si="4"/>
        <v/>
      </c>
      <c r="AQ9" s="3" t="str">
        <f t="shared" si="5"/>
        <v/>
      </c>
      <c r="AR9" s="34" t="str">
        <f>IF(ISERR(Calculations!AE4), "", Calculations!AE4)</f>
        <v/>
      </c>
      <c r="AS9" t="str">
        <f t="shared" si="13"/>
        <v/>
      </c>
      <c r="AT9" s="8" t="str">
        <f t="shared" si="6"/>
        <v/>
      </c>
      <c r="AU9" s="83" t="str">
        <f t="shared" si="7"/>
        <v/>
      </c>
      <c r="AV9" s="87" t="str">
        <f t="shared" si="8"/>
        <v/>
      </c>
      <c r="AW9" s="91" t="str">
        <f t="shared" si="9"/>
        <v/>
      </c>
    </row>
    <row r="10" spans="1:49" x14ac:dyDescent="0.25">
      <c r="A10" s="39"/>
      <c r="C10" s="5" t="s">
        <v>158</v>
      </c>
      <c r="D10" s="114">
        <v>0.75</v>
      </c>
      <c r="F10" s="190" t="s">
        <v>715</v>
      </c>
      <c r="G10" s="191">
        <v>6.4899999999999999E-2</v>
      </c>
      <c r="H10" s="192">
        <v>7.0999999999999994E-2</v>
      </c>
      <c r="I10" s="193">
        <v>0.75</v>
      </c>
      <c r="J10" s="194">
        <v>400000</v>
      </c>
      <c r="K10" s="194">
        <v>5000000</v>
      </c>
      <c r="L10" s="191">
        <f t="shared" si="0"/>
        <v>5.0000000000000044E-3</v>
      </c>
      <c r="M10" s="191"/>
      <c r="N10" s="195">
        <v>30</v>
      </c>
      <c r="O10" s="195"/>
      <c r="P10" s="196" t="s">
        <v>52</v>
      </c>
      <c r="Q10" s="194"/>
      <c r="R10" s="194">
        <v>1999</v>
      </c>
      <c r="S10" s="194"/>
      <c r="T10" s="197" t="s">
        <v>52</v>
      </c>
      <c r="U10" s="198" t="s">
        <v>700</v>
      </c>
      <c r="V10" t="str">
        <f>IF(OR(AND(Input!$B$47="Purchase",T10="No",Input!$B$49="yes",Q10="yes",P10="Yes"),AND(Input!$B$47="Remortgage",T10="Yes",Input!$B$49="yes",Q10="yes",P10="Yes")),"OK","")</f>
        <v/>
      </c>
      <c r="W10" t="str">
        <f>IF(OR(AND(Input!$B$47="Purchase",T10="No",Input!$B$49="No",Q10="",P10="Yes"),AND(Input!$B$47="Remortgage",T10="Yes",Input!$B$49="No",Q10="",P10="Yes")),"OK","")</f>
        <v/>
      </c>
      <c r="X10" t="str">
        <f t="shared" si="14"/>
        <v/>
      </c>
      <c r="Y10" t="str">
        <f>IF(AA10="", "", MAX(Y$4:$Y9)+1)</f>
        <v/>
      </c>
      <c r="AA10" s="8" t="str">
        <f>IF(V10="OK",F10,IF(X10="OK",F10,""))</f>
        <v/>
      </c>
      <c r="AB10" s="82" t="str">
        <f>IF(AA10="", "", G10)</f>
        <v/>
      </c>
      <c r="AC10" s="86" t="str">
        <f>IF(AA10="", "", H10)</f>
        <v/>
      </c>
      <c r="AD10" s="91">
        <f>IF(Input!$B$47="Purchase", R10, S10)</f>
        <v>1999</v>
      </c>
      <c r="AE10" t="str">
        <f t="shared" si="15"/>
        <v/>
      </c>
      <c r="AF10" t="str">
        <f>IF(AG10="", "", MAX(AF$4:$AF9)+1)</f>
        <v/>
      </c>
      <c r="AG10" s="8" t="str">
        <f>IF(AND(AND(Amount_Requested&gt;=J10, Amount_Requested&lt;=K10,  Amount_Requested&lt;=MAX(Calculations!G15:H15), OR(Amount_Requested&lt;=MIN(Calculations!B15,Refer_Min), Amount_Requested&gt;=MIN(Calculations!D15,Refer_Min)), Calculations!$A$57="AIP")),AA10, "")</f>
        <v/>
      </c>
      <c r="AH10" s="83" t="str">
        <f t="shared" si="16"/>
        <v/>
      </c>
      <c r="AI10" s="87" t="str">
        <f t="shared" si="17"/>
        <v/>
      </c>
      <c r="AJ10" s="91" t="str">
        <f t="shared" si="18"/>
        <v/>
      </c>
      <c r="AK10" t="str">
        <f t="shared" si="19"/>
        <v/>
      </c>
      <c r="AM10" s="116" t="str">
        <f t="shared" si="1"/>
        <v/>
      </c>
      <c r="AN10" s="117" t="str">
        <f t="shared" si="2"/>
        <v/>
      </c>
      <c r="AO10" s="118" t="str">
        <f t="shared" si="3"/>
        <v/>
      </c>
      <c r="AP10" s="119" t="str">
        <f t="shared" si="4"/>
        <v/>
      </c>
      <c r="AQ10" s="120" t="str">
        <f t="shared" ref="AQ10:AQ35" si="20">IF(AM10="", "", ROUND(Amount_Requested*AN10/12,2))</f>
        <v/>
      </c>
      <c r="AR10" s="121"/>
      <c r="AT10" s="8" t="str">
        <f t="shared" si="6"/>
        <v/>
      </c>
      <c r="AU10" s="83" t="str">
        <f t="shared" si="7"/>
        <v/>
      </c>
      <c r="AV10" s="87" t="str">
        <f t="shared" si="8"/>
        <v/>
      </c>
      <c r="AW10" s="91" t="str">
        <f t="shared" si="9"/>
        <v/>
      </c>
    </row>
    <row r="11" spans="1:49" x14ac:dyDescent="0.25">
      <c r="A11" s="39"/>
      <c r="C11" s="8" t="s">
        <v>160</v>
      </c>
      <c r="D11" s="115">
        <v>35</v>
      </c>
      <c r="F11" s="190" t="str">
        <f t="shared" ref="F11:H13" si="21">F5</f>
        <v>BTL BRT (UT048): Up to £399k</v>
      </c>
      <c r="G11" s="191">
        <f t="shared" si="21"/>
        <v>6.8900000000000003E-2</v>
      </c>
      <c r="H11" s="192">
        <f t="shared" si="21"/>
        <v>7.3999999999999996E-2</v>
      </c>
      <c r="I11" s="193">
        <f t="shared" ref="I11:K15" si="22">I5</f>
        <v>0.75</v>
      </c>
      <c r="J11" s="194">
        <f t="shared" si="22"/>
        <v>100000</v>
      </c>
      <c r="K11" s="194">
        <f t="shared" si="22"/>
        <v>399999</v>
      </c>
      <c r="L11" s="191">
        <f t="shared" si="0"/>
        <v>5.0000000000000044E-3</v>
      </c>
      <c r="M11" s="191"/>
      <c r="N11" s="195">
        <v>30</v>
      </c>
      <c r="O11" s="195"/>
      <c r="P11" s="196" t="s">
        <v>52</v>
      </c>
      <c r="Q11" s="194"/>
      <c r="R11" s="194"/>
      <c r="S11" s="194">
        <v>0</v>
      </c>
      <c r="T11" s="197" t="s">
        <v>52</v>
      </c>
      <c r="U11" s="198" t="s">
        <v>700</v>
      </c>
      <c r="V11" t="str">
        <f>IF(OR(AND(Input!$B$47="Purchase",T11="No",Input!$B$49="yes",Q11="yes",P11="Yes"),AND(Input!$B$47="Remortgage",T11="Yes",Input!$B$49="yes",Q11="yes",P11="Yes")),"OK","")</f>
        <v/>
      </c>
      <c r="W11" t="str">
        <f>IF(OR(AND(Input!$B$47="Purchase",T11="No",Input!$B$49="No",Q11="",P11="Yes"),AND(Input!$B$47="Remortgage",T11="Yes",Input!$B$49="No",Q11="",P11="Yes")),"OK","")</f>
        <v/>
      </c>
      <c r="X11" t="str">
        <f t="shared" si="14"/>
        <v/>
      </c>
      <c r="Y11" t="str">
        <f>IF(AA11="", "", MAX(Y$4:$Y10)+1)</f>
        <v/>
      </c>
      <c r="AA11" s="8" t="str">
        <f t="shared" si="10"/>
        <v/>
      </c>
      <c r="AB11" s="82" t="str">
        <f t="shared" si="11"/>
        <v/>
      </c>
      <c r="AC11" s="86" t="str">
        <f t="shared" si="12"/>
        <v/>
      </c>
      <c r="AD11" s="91">
        <f>IF(Input!$B$47="Purchase", R11, S11)</f>
        <v>0</v>
      </c>
      <c r="AE11" t="str">
        <f t="shared" si="15"/>
        <v/>
      </c>
      <c r="AF11" t="str">
        <f>IF(AG11="", "", MAX(AF$4:$AF10)+1)</f>
        <v/>
      </c>
      <c r="AG11" s="8" t="str">
        <f>IF(AND(AND(Amount_Requested&gt;=J11, Amount_Requested&lt;=K11,  Amount_Requested&lt;=MAX(Calculations!G16:H16), OR(Amount_Requested&lt;=MIN(Calculations!B16,Refer_Min), Amount_Requested&gt;=MIN(Calculations!D16,Refer_Min)), Calculations!$A$57="AIP")),AA11, "")</f>
        <v/>
      </c>
      <c r="AH11" s="83" t="str">
        <f t="shared" si="16"/>
        <v/>
      </c>
      <c r="AI11" s="87" t="str">
        <f t="shared" si="17"/>
        <v/>
      </c>
      <c r="AJ11" s="91" t="str">
        <f t="shared" si="18"/>
        <v/>
      </c>
      <c r="AK11" t="str">
        <f t="shared" si="19"/>
        <v/>
      </c>
      <c r="AM11" s="116" t="str">
        <f t="shared" si="1"/>
        <v/>
      </c>
      <c r="AN11" s="117" t="str">
        <f t="shared" si="2"/>
        <v/>
      </c>
      <c r="AO11" s="118" t="str">
        <f t="shared" si="3"/>
        <v/>
      </c>
      <c r="AP11" s="119" t="str">
        <f t="shared" si="4"/>
        <v/>
      </c>
      <c r="AQ11" s="120" t="str">
        <f t="shared" si="20"/>
        <v/>
      </c>
      <c r="AR11" s="121"/>
      <c r="AT11" s="8" t="str">
        <f t="shared" si="6"/>
        <v/>
      </c>
      <c r="AU11" s="83" t="str">
        <f t="shared" si="7"/>
        <v/>
      </c>
      <c r="AV11" s="87" t="str">
        <f t="shared" si="8"/>
        <v/>
      </c>
      <c r="AW11" s="91" t="str">
        <f t="shared" si="9"/>
        <v/>
      </c>
    </row>
    <row r="12" spans="1:49" x14ac:dyDescent="0.25">
      <c r="A12" s="39"/>
      <c r="C12" s="10" t="s">
        <v>157</v>
      </c>
      <c r="D12" s="62">
        <v>200000</v>
      </c>
      <c r="F12" s="190" t="str">
        <f t="shared" si="21"/>
        <v>BTL 3 Year Fixed (UF072): Min Loan £100k</v>
      </c>
      <c r="G12" s="191">
        <f t="shared" si="21"/>
        <v>7.0900000000000005E-2</v>
      </c>
      <c r="H12" s="192">
        <f t="shared" si="21"/>
        <v>7.3999999999999996E-2</v>
      </c>
      <c r="I12" s="193">
        <f t="shared" ref="I12:K13" si="23">I6</f>
        <v>0.75</v>
      </c>
      <c r="J12" s="194">
        <f t="shared" si="23"/>
        <v>100000</v>
      </c>
      <c r="K12" s="194">
        <f t="shared" si="23"/>
        <v>399999</v>
      </c>
      <c r="L12" s="191">
        <f t="shared" si="0"/>
        <v>5.0000000000000044E-3</v>
      </c>
      <c r="M12" s="191"/>
      <c r="N12" s="195">
        <v>30</v>
      </c>
      <c r="O12" s="195"/>
      <c r="P12" s="196" t="s">
        <v>52</v>
      </c>
      <c r="Q12" s="194"/>
      <c r="R12" s="194"/>
      <c r="S12" s="194">
        <v>0</v>
      </c>
      <c r="T12" s="196" t="s">
        <v>52</v>
      </c>
      <c r="U12" s="198" t="s">
        <v>700</v>
      </c>
      <c r="V12" t="str">
        <f>IF(OR(AND(Input!$B$47="Purchase",T12="No",Input!$B$49="yes",Q12="yes",P12="Yes"),AND(Input!$B$47="Remortgage",T12="Yes",Input!$B$49="yes",Q12="yes",P12="Yes")),"OK","")</f>
        <v/>
      </c>
      <c r="W12" t="str">
        <f>IF(OR(AND(Input!$B$47="Purchase",T12="No",Input!$B$49="No",Q12="",P12="Yes"),AND(Input!$B$47="Remortgage",T12="Yes",Input!$B$49="No",Q12="",P12="Yes")),"OK","")</f>
        <v/>
      </c>
      <c r="X12" t="str">
        <f t="shared" si="14"/>
        <v/>
      </c>
      <c r="Y12" t="str">
        <f>IF(AA12="", "", MAX(Y$4:$Y11)+1)</f>
        <v/>
      </c>
      <c r="AA12" s="8" t="str">
        <f t="shared" si="10"/>
        <v/>
      </c>
      <c r="AB12" s="82" t="str">
        <f t="shared" si="11"/>
        <v/>
      </c>
      <c r="AC12" s="86" t="str">
        <f t="shared" si="12"/>
        <v/>
      </c>
      <c r="AD12" s="91">
        <f>IF(Input!$B$47="Purchase", R12, S12)</f>
        <v>0</v>
      </c>
      <c r="AE12" t="str">
        <f t="shared" si="15"/>
        <v/>
      </c>
      <c r="AF12" t="str">
        <f>IF(AG12="", "", MAX(AF$4:$AF11)+1)</f>
        <v/>
      </c>
      <c r="AG12" s="8" t="str">
        <f>IF(AND(AND(Amount_Requested&gt;=J12, Amount_Requested&lt;=K12,  Amount_Requested&lt;=MAX(Calculations!G17:H17), OR(Amount_Requested&lt;=MIN(Calculations!B17,Refer_Min), Amount_Requested&gt;=MIN(Calculations!D17,Refer_Min)), Calculations!$A$57="AIP")),AA12, "")</f>
        <v/>
      </c>
      <c r="AH12" s="83" t="str">
        <f t="shared" si="16"/>
        <v/>
      </c>
      <c r="AI12" s="87" t="str">
        <f t="shared" si="17"/>
        <v/>
      </c>
      <c r="AJ12" s="91" t="str">
        <f t="shared" si="18"/>
        <v/>
      </c>
      <c r="AK12" t="str">
        <f t="shared" si="19"/>
        <v/>
      </c>
      <c r="AM12" s="116" t="str">
        <f t="shared" si="1"/>
        <v/>
      </c>
      <c r="AN12" s="117" t="str">
        <f t="shared" si="2"/>
        <v/>
      </c>
      <c r="AO12" s="118" t="str">
        <f t="shared" si="3"/>
        <v/>
      </c>
      <c r="AP12" s="119" t="str">
        <f t="shared" si="4"/>
        <v/>
      </c>
      <c r="AQ12" s="120" t="str">
        <f t="shared" si="20"/>
        <v/>
      </c>
      <c r="AR12" s="121"/>
      <c r="AT12" s="8" t="str">
        <f t="shared" si="6"/>
        <v/>
      </c>
      <c r="AU12" s="83" t="str">
        <f t="shared" si="7"/>
        <v/>
      </c>
      <c r="AV12" s="87" t="str">
        <f t="shared" si="8"/>
        <v/>
      </c>
      <c r="AW12" s="91" t="str">
        <f t="shared" si="9"/>
        <v/>
      </c>
    </row>
    <row r="13" spans="1:49" x14ac:dyDescent="0.25">
      <c r="A13" s="39"/>
      <c r="F13" s="190" t="str">
        <f t="shared" si="21"/>
        <v>BTL BRT (UT049): Min Loan £400k</v>
      </c>
      <c r="G13" s="191">
        <f>G7</f>
        <v>6.4899999999999999E-2</v>
      </c>
      <c r="H13" s="192">
        <f t="shared" si="21"/>
        <v>7.1999999999999995E-2</v>
      </c>
      <c r="I13" s="193">
        <f t="shared" si="23"/>
        <v>0.75</v>
      </c>
      <c r="J13" s="194">
        <f t="shared" si="23"/>
        <v>400000</v>
      </c>
      <c r="K13" s="194">
        <f t="shared" si="23"/>
        <v>5000000</v>
      </c>
      <c r="L13" s="191">
        <f>IF(U13="Fixed",G13-$G$4,$A$61-Standard_Variable_Rate)</f>
        <v>5.0000000000000044E-3</v>
      </c>
      <c r="M13" s="191"/>
      <c r="N13" s="195">
        <v>30</v>
      </c>
      <c r="O13" s="195"/>
      <c r="P13" s="196" t="s">
        <v>52</v>
      </c>
      <c r="Q13" s="194"/>
      <c r="R13" s="194"/>
      <c r="S13" s="194">
        <v>0</v>
      </c>
      <c r="T13" s="197" t="s">
        <v>52</v>
      </c>
      <c r="U13" s="198" t="s">
        <v>700</v>
      </c>
      <c r="V13" t="str">
        <f>IF(OR(AND(Input!$B$47="Purchase",T13="No",Input!$B$49="yes",Q13="yes",P13="Yes"),AND(Input!$B$47="Remortgage",T13="Yes",Input!$B$49="yes",Q13="yes",P13="Yes")),"OK","")</f>
        <v/>
      </c>
      <c r="W13" t="str">
        <f>IF(OR(AND(Input!$B$47="Purchase",T13="No",Input!$B$49="No",Q13="",P13="Yes"),AND(Input!$B$47="Remortgage",T13="Yes",Input!$B$49="No",Q13="",P13="Yes")),"OK","")</f>
        <v/>
      </c>
      <c r="X13" t="str">
        <f t="shared" si="14"/>
        <v/>
      </c>
      <c r="Y13" t="str">
        <f>IF(AA13="", "", MAX(Y$4:$Y12)+1)</f>
        <v/>
      </c>
      <c r="AA13" s="8" t="str">
        <f t="shared" si="10"/>
        <v/>
      </c>
      <c r="AB13" s="82" t="str">
        <f t="shared" si="11"/>
        <v/>
      </c>
      <c r="AC13" s="86" t="str">
        <f t="shared" si="12"/>
        <v/>
      </c>
      <c r="AD13" s="91">
        <f>IF(Input!$B$47="Purchase", R13, S13)</f>
        <v>0</v>
      </c>
      <c r="AE13" t="str">
        <f t="shared" si="15"/>
        <v/>
      </c>
      <c r="AF13" t="str">
        <f>IF(AG13="", "", MAX(AF$4:$AF12)+1)</f>
        <v/>
      </c>
      <c r="AG13" s="8" t="str">
        <f>IF(AND(AND(Amount_Requested&gt;=J13, Amount_Requested&lt;=K13,  Amount_Requested&lt;=MAX(Calculations!G18:H18), OR(Amount_Requested&lt;=MIN(Calculations!B18,Refer_Min), Amount_Requested&gt;=MIN(Calculations!D18,Refer_Min)), Calculations!$A$57="AIP")),AA13, "")</f>
        <v/>
      </c>
      <c r="AH13" s="83" t="str">
        <f t="shared" si="16"/>
        <v/>
      </c>
      <c r="AI13" s="87" t="str">
        <f t="shared" si="17"/>
        <v/>
      </c>
      <c r="AJ13" s="91" t="str">
        <f t="shared" si="18"/>
        <v/>
      </c>
      <c r="AK13" t="str">
        <f t="shared" si="19"/>
        <v/>
      </c>
      <c r="AM13" s="116" t="str">
        <f t="shared" si="1"/>
        <v/>
      </c>
      <c r="AN13" s="117" t="str">
        <f t="shared" si="2"/>
        <v/>
      </c>
      <c r="AO13" s="118" t="str">
        <f t="shared" si="3"/>
        <v/>
      </c>
      <c r="AP13" s="119" t="str">
        <f t="shared" si="4"/>
        <v/>
      </c>
      <c r="AQ13" s="120" t="str">
        <f t="shared" si="20"/>
        <v/>
      </c>
      <c r="AR13" s="121"/>
      <c r="AT13" s="8" t="str">
        <f t="shared" si="6"/>
        <v/>
      </c>
      <c r="AU13" s="83" t="str">
        <f t="shared" si="7"/>
        <v/>
      </c>
      <c r="AV13" s="87" t="str">
        <f t="shared" si="8"/>
        <v/>
      </c>
      <c r="AW13" s="91" t="str">
        <f t="shared" si="9"/>
        <v/>
      </c>
    </row>
    <row r="14" spans="1:49" x14ac:dyDescent="0.25">
      <c r="A14" s="39"/>
      <c r="C14" s="5" t="s">
        <v>67</v>
      </c>
      <c r="D14" s="7"/>
      <c r="F14" s="210" t="str">
        <f t="shared" ref="F14:K14" si="24">F8</f>
        <v>BTL 5 Year Fixed (UF080): Min Loan £500k</v>
      </c>
      <c r="G14" s="211">
        <f t="shared" si="24"/>
        <v>5.9900000000000002E-2</v>
      </c>
      <c r="H14" s="212">
        <f t="shared" si="24"/>
        <v>7.0000000000000007E-2</v>
      </c>
      <c r="I14" s="213">
        <f t="shared" si="24"/>
        <v>0.75</v>
      </c>
      <c r="J14" s="214">
        <f t="shared" si="24"/>
        <v>500000</v>
      </c>
      <c r="K14" s="214">
        <f t="shared" si="24"/>
        <v>5000000</v>
      </c>
      <c r="L14" s="211">
        <f t="shared" si="0"/>
        <v>-1.4999999999999993E-2</v>
      </c>
      <c r="M14" s="211"/>
      <c r="N14" s="215">
        <v>30</v>
      </c>
      <c r="O14" s="215"/>
      <c r="P14" s="216" t="s">
        <v>51</v>
      </c>
      <c r="Q14" s="214"/>
      <c r="R14" s="214"/>
      <c r="S14" s="214">
        <v>999</v>
      </c>
      <c r="T14" s="217" t="s">
        <v>51</v>
      </c>
      <c r="U14" s="218" t="s">
        <v>701</v>
      </c>
      <c r="V14" t="str">
        <f>IF(OR(AND(Input!$B$47="Purchase",T14="No",Input!$B$49="yes",Q14="yes",P14="Yes"),AND(Input!$B$47="Remortgage",T14="Yes",Input!$B$49="yes",Q14="yes",P14="Yes")),"OK","")</f>
        <v/>
      </c>
      <c r="W14" t="str">
        <f>IF(OR(AND(Input!$B$47="Purchase",T14="No",Input!$B$49="No",Q14="",P14="Yes"),AND(Input!$B$47="Remortgage",T14="Yes",Input!$B$49="No",Q14="",P14="Yes")),"OK","")</f>
        <v/>
      </c>
      <c r="X14" t="str">
        <f t="shared" si="14"/>
        <v/>
      </c>
      <c r="Y14" t="str">
        <f>IF(AA14="", "", MAX(Y$4:$Y13)+1)</f>
        <v/>
      </c>
      <c r="AA14" s="8" t="str">
        <f t="shared" si="10"/>
        <v/>
      </c>
      <c r="AB14" s="82" t="str">
        <f t="shared" si="11"/>
        <v/>
      </c>
      <c r="AC14" s="86" t="str">
        <f t="shared" si="12"/>
        <v/>
      </c>
      <c r="AD14" s="91">
        <f>IF(Input!$B$47="Purchase", R14, S14)</f>
        <v>0</v>
      </c>
      <c r="AE14" t="str">
        <f t="shared" si="15"/>
        <v/>
      </c>
      <c r="AF14" t="str">
        <f>IF(AG14="", "", MAX(AF$4:$AF13)+1)</f>
        <v/>
      </c>
      <c r="AG14" s="8" t="str">
        <f>IF(AND(AND(Amount_Requested&gt;=J14, Amount_Requested&lt;=K14,  Amount_Requested&lt;=MAX(Calculations!G19:H19), OR(Amount_Requested&lt;=MIN(Calculations!B19,Refer_Min), Amount_Requested&gt;=MIN(Calculations!D19,Refer_Min)), Calculations!$A$57="AIP")),AA14, "")</f>
        <v/>
      </c>
      <c r="AH14" s="83" t="str">
        <f t="shared" ref="AH14:AH35" si="25">IF($AG14="", "",AB14)</f>
        <v/>
      </c>
      <c r="AI14" s="87" t="str">
        <f t="shared" ref="AI14:AI35" si="26">IF($AG14="", "",AC14)</f>
        <v/>
      </c>
      <c r="AJ14" s="91" t="str">
        <f t="shared" ref="AJ14:AJ35" si="27">IF($AG14="", "",AD14)</f>
        <v/>
      </c>
      <c r="AK14" t="str">
        <f t="shared" si="19"/>
        <v/>
      </c>
      <c r="AM14" s="116" t="str">
        <f t="shared" si="1"/>
        <v/>
      </c>
      <c r="AN14" s="117" t="str">
        <f t="shared" si="2"/>
        <v/>
      </c>
      <c r="AO14" s="118" t="str">
        <f t="shared" si="3"/>
        <v/>
      </c>
      <c r="AP14" s="119" t="str">
        <f t="shared" si="4"/>
        <v/>
      </c>
      <c r="AQ14" s="120" t="str">
        <f t="shared" si="20"/>
        <v/>
      </c>
      <c r="AR14" s="121"/>
      <c r="AT14" s="8" t="str">
        <f t="shared" si="6"/>
        <v/>
      </c>
      <c r="AU14" s="83" t="str">
        <f t="shared" si="7"/>
        <v/>
      </c>
      <c r="AV14" s="87" t="str">
        <f t="shared" si="8"/>
        <v/>
      </c>
      <c r="AW14" s="91" t="str">
        <f t="shared" si="9"/>
        <v/>
      </c>
    </row>
    <row r="15" spans="1:49" x14ac:dyDescent="0.25">
      <c r="A15" s="39"/>
      <c r="C15" s="8" t="s">
        <v>68</v>
      </c>
      <c r="D15" s="57">
        <v>40000</v>
      </c>
      <c r="F15" s="210" t="str">
        <f t="shared" ref="F15" si="28">F9</f>
        <v>BTL 5 Year Fixed (UF079): Min Loan £200k</v>
      </c>
      <c r="G15" s="211">
        <f t="shared" ref="G15:H15" si="29">G9</f>
        <v>6.2899999999999998E-2</v>
      </c>
      <c r="H15" s="212">
        <f t="shared" si="29"/>
        <v>7.0999999999999994E-2</v>
      </c>
      <c r="I15" s="213">
        <f t="shared" si="22"/>
        <v>0.75</v>
      </c>
      <c r="J15" s="214">
        <f t="shared" si="22"/>
        <v>200000</v>
      </c>
      <c r="K15" s="242">
        <f>K9</f>
        <v>499999.99</v>
      </c>
      <c r="L15" s="211">
        <f t="shared" si="0"/>
        <v>-1.1999999999999997E-2</v>
      </c>
      <c r="M15" s="211"/>
      <c r="N15" s="215">
        <v>30</v>
      </c>
      <c r="O15" s="215"/>
      <c r="P15" s="216" t="s">
        <v>51</v>
      </c>
      <c r="Q15" s="214"/>
      <c r="R15" s="214"/>
      <c r="S15" s="214">
        <v>999</v>
      </c>
      <c r="T15" s="217" t="s">
        <v>51</v>
      </c>
      <c r="U15" s="218" t="s">
        <v>701</v>
      </c>
      <c r="V15" t="str">
        <f>IF(OR(AND(Input!$B$47="Purchase",T15="No",Input!$B$49="yes",Q15="yes",P15="Yes"),AND(Input!$B$47="Remortgage",T15="Yes",Input!$B$49="yes",Q15="yes",P15="Yes")),"OK","")</f>
        <v/>
      </c>
      <c r="W15" t="str">
        <f>IF(OR(AND(Input!$B$47="Purchase",T15="No",Input!$B$49="No",Q15="",P15="Yes"),AND(Input!$B$47="Remortgage",T15="Yes",Input!$B$49="No",Q15="",P15="Yes")),"OK","")</f>
        <v/>
      </c>
      <c r="X15" t="str">
        <f t="shared" si="14"/>
        <v/>
      </c>
      <c r="Y15" t="str">
        <f>IF(AA15="", "", MAX(Y$4:$Y14)+1)</f>
        <v/>
      </c>
      <c r="AA15" s="8" t="str">
        <f t="shared" si="10"/>
        <v/>
      </c>
      <c r="AB15" s="82" t="str">
        <f t="shared" si="11"/>
        <v/>
      </c>
      <c r="AC15" s="86" t="str">
        <f t="shared" si="12"/>
        <v/>
      </c>
      <c r="AD15" s="91">
        <f>IF(Input!$B$47="Purchase", R15, S15)</f>
        <v>0</v>
      </c>
      <c r="AE15" t="str">
        <f t="shared" si="15"/>
        <v/>
      </c>
      <c r="AF15" t="str">
        <f>IF(AG15="", "", MAX(AF$4:$AF14)+1)</f>
        <v/>
      </c>
      <c r="AG15" s="8" t="str">
        <f>IF(AND(AND(Amount_Requested&gt;=J15, Amount_Requested&lt;=K15,  Amount_Requested&lt;=MAX(Calculations!G20:H20), OR(Amount_Requested&lt;=MIN(Calculations!B20,Refer_Min), Amount_Requested&gt;=MIN(Calculations!D20,Refer_Min)), Calculations!$A$57="AIP")),AA15, "")</f>
        <v/>
      </c>
      <c r="AH15" s="83" t="str">
        <f t="shared" si="25"/>
        <v/>
      </c>
      <c r="AI15" s="87" t="str">
        <f t="shared" si="26"/>
        <v/>
      </c>
      <c r="AJ15" s="91" t="str">
        <f t="shared" si="27"/>
        <v/>
      </c>
      <c r="AK15" t="str">
        <f t="shared" si="19"/>
        <v/>
      </c>
      <c r="AM15" s="116" t="str">
        <f t="shared" si="1"/>
        <v/>
      </c>
      <c r="AN15" s="117" t="str">
        <f t="shared" si="2"/>
        <v/>
      </c>
      <c r="AO15" s="118" t="str">
        <f t="shared" si="3"/>
        <v/>
      </c>
      <c r="AP15" s="119" t="str">
        <f t="shared" si="4"/>
        <v/>
      </c>
      <c r="AQ15" s="120" t="str">
        <f t="shared" si="20"/>
        <v/>
      </c>
      <c r="AR15" s="121"/>
      <c r="AT15" s="8" t="str">
        <f t="shared" si="6"/>
        <v/>
      </c>
      <c r="AU15" s="83" t="str">
        <f t="shared" si="7"/>
        <v/>
      </c>
      <c r="AV15" s="87" t="str">
        <f t="shared" si="8"/>
        <v/>
      </c>
      <c r="AW15" s="91" t="str">
        <f t="shared" si="9"/>
        <v/>
      </c>
    </row>
    <row r="16" spans="1:49" x14ac:dyDescent="0.25">
      <c r="A16" s="39"/>
      <c r="C16" s="8" t="s">
        <v>83</v>
      </c>
      <c r="D16" s="57">
        <v>60000</v>
      </c>
      <c r="F16" s="190" t="str">
        <f t="shared" ref="F16:K16" si="30">F10</f>
        <v>BTL 3 Year Fixed (UF073): Min Loan £400k</v>
      </c>
      <c r="G16" s="191">
        <f t="shared" si="30"/>
        <v>6.4899999999999999E-2</v>
      </c>
      <c r="H16" s="192">
        <f t="shared" si="30"/>
        <v>7.0999999999999994E-2</v>
      </c>
      <c r="I16" s="193">
        <f t="shared" si="30"/>
        <v>0.75</v>
      </c>
      <c r="J16" s="194">
        <f t="shared" si="30"/>
        <v>400000</v>
      </c>
      <c r="K16" s="194">
        <f t="shared" si="30"/>
        <v>5000000</v>
      </c>
      <c r="L16" s="191">
        <f t="shared" si="0"/>
        <v>5.0000000000000044E-3</v>
      </c>
      <c r="M16" s="191"/>
      <c r="N16" s="195">
        <v>30</v>
      </c>
      <c r="O16" s="195"/>
      <c r="P16" s="196" t="s">
        <v>52</v>
      </c>
      <c r="Q16" s="194"/>
      <c r="R16" s="194"/>
      <c r="S16" s="194">
        <v>0</v>
      </c>
      <c r="T16" s="196" t="s">
        <v>52</v>
      </c>
      <c r="U16" s="198" t="s">
        <v>700</v>
      </c>
      <c r="V16" t="str">
        <f>IF(OR(AND(Input!$B$47="Purchase",T16="No",Input!$B$49="yes",Q16="yes",P16="Yes"),AND(Input!$B$47="Remortgage",T16="Yes",Input!$B$49="yes",Q16="yes",P16="Yes")),"OK","")</f>
        <v/>
      </c>
      <c r="W16" t="str">
        <f>IF(OR(AND(Input!$B$47="Purchase",T16="No",Input!$B$49="No",Q16="",P16="Yes"),AND(Input!$B$47="Remortgage",T16="Yes",Input!$B$49="No",Q16="",P16="Yes")),"OK","")</f>
        <v/>
      </c>
      <c r="X16" t="str">
        <f t="shared" si="14"/>
        <v/>
      </c>
      <c r="Y16" t="str">
        <f>IF(AA16="", "", MAX(Y$4:$Y15)+1)</f>
        <v/>
      </c>
      <c r="AA16" s="8" t="str">
        <f t="shared" si="10"/>
        <v/>
      </c>
      <c r="AB16" s="82" t="str">
        <f t="shared" si="11"/>
        <v/>
      </c>
      <c r="AC16" s="86" t="str">
        <f t="shared" si="12"/>
        <v/>
      </c>
      <c r="AD16" s="91">
        <f>IF(Input!$B$47="Purchase", R16, S16)</f>
        <v>0</v>
      </c>
      <c r="AE16" t="str">
        <f t="shared" si="15"/>
        <v/>
      </c>
      <c r="AF16" t="str">
        <f>IF(AG16="", "", MAX(AF$4:$AF15)+1)</f>
        <v/>
      </c>
      <c r="AG16" s="8" t="str">
        <f>IF(AND(AND(Amount_Requested&gt;=J16, Amount_Requested&lt;=K16,  Amount_Requested&lt;=MAX(Calculations!G21:H21), OR(Amount_Requested&lt;=MIN(Calculations!B21,Refer_Min), Amount_Requested&gt;=MIN(Calculations!D21,Refer_Min)), Calculations!$A$57="AIP")),AA16, "")</f>
        <v/>
      </c>
      <c r="AH16" s="83" t="str">
        <f t="shared" si="25"/>
        <v/>
      </c>
      <c r="AI16" s="87" t="str">
        <f t="shared" si="26"/>
        <v/>
      </c>
      <c r="AJ16" s="91" t="str">
        <f t="shared" si="27"/>
        <v/>
      </c>
      <c r="AK16" t="str">
        <f t="shared" si="19"/>
        <v/>
      </c>
      <c r="AM16" s="116" t="str">
        <f t="shared" si="1"/>
        <v/>
      </c>
      <c r="AN16" s="117" t="str">
        <f t="shared" si="2"/>
        <v/>
      </c>
      <c r="AO16" s="118" t="str">
        <f t="shared" si="3"/>
        <v/>
      </c>
      <c r="AP16" s="119" t="str">
        <f t="shared" si="4"/>
        <v/>
      </c>
      <c r="AQ16" s="120" t="str">
        <f t="shared" si="20"/>
        <v/>
      </c>
      <c r="AR16" s="121"/>
      <c r="AT16" s="8" t="str">
        <f t="shared" si="6"/>
        <v/>
      </c>
      <c r="AU16" s="83" t="str">
        <f t="shared" si="7"/>
        <v/>
      </c>
      <c r="AV16" s="87" t="str">
        <f t="shared" si="8"/>
        <v/>
      </c>
      <c r="AW16" s="91" t="str">
        <f t="shared" si="9"/>
        <v/>
      </c>
    </row>
    <row r="17" spans="1:49" x14ac:dyDescent="0.25">
      <c r="A17" s="39"/>
      <c r="C17" s="8" t="s">
        <v>76</v>
      </c>
      <c r="D17" s="208">
        <v>1.25</v>
      </c>
      <c r="F17" s="190" t="str">
        <f>F4</f>
        <v>Standard Variable Rate</v>
      </c>
      <c r="G17" s="199">
        <f>G4</f>
        <v>7.4899999999999994E-2</v>
      </c>
      <c r="H17" s="199"/>
      <c r="I17" s="193">
        <v>0.65</v>
      </c>
      <c r="J17" s="194">
        <f>J4</f>
        <v>100000</v>
      </c>
      <c r="K17" s="194">
        <f>K4</f>
        <v>5000000</v>
      </c>
      <c r="L17" s="191">
        <f t="shared" si="0"/>
        <v>5.0000000000000044E-3</v>
      </c>
      <c r="M17" s="191"/>
      <c r="N17" s="195">
        <v>30</v>
      </c>
      <c r="O17" s="195"/>
      <c r="P17" s="196" t="s">
        <v>52</v>
      </c>
      <c r="Q17" s="194" t="s">
        <v>52</v>
      </c>
      <c r="R17" s="194">
        <v>4999</v>
      </c>
      <c r="S17" s="194">
        <v>4999</v>
      </c>
      <c r="T17" s="197" t="str">
        <f>T4</f>
        <v>No</v>
      </c>
      <c r="U17" s="198" t="s">
        <v>700</v>
      </c>
      <c r="V17" t="str">
        <f>IF(OR(AND(Input!$B$47="Purchase",T17="No",Input!$B$49="yes",Q17="yes",P17="Yes"),AND(Input!$B$47="Remortgage",T17="Yes",Input!$B$49="yes",Q17="yes",P17="Yes")),"OK","")</f>
        <v/>
      </c>
      <c r="W17" t="str">
        <f>IF(OR(AND(Input!$B$47="Purchase",T17="No",Input!$B$49="No",Q17="",P17="Yes"),AND(Input!$B$47="Remortgage",T17="Yes",Input!$B$49="No",Q17="",P17="Yes")),"OK","")</f>
        <v/>
      </c>
      <c r="X17" t="str">
        <f t="shared" si="14"/>
        <v/>
      </c>
      <c r="Y17" t="str">
        <f>IF(AA17="", "", MAX(Y$4:$Y16)+1)</f>
        <v/>
      </c>
      <c r="AA17" s="8" t="str">
        <f t="shared" si="10"/>
        <v/>
      </c>
      <c r="AB17" s="82" t="str">
        <f t="shared" si="11"/>
        <v/>
      </c>
      <c r="AC17" s="86" t="str">
        <f t="shared" si="12"/>
        <v/>
      </c>
      <c r="AD17" s="91">
        <f>IF(Input!$B$47="Purchase", R17, S17)</f>
        <v>4999</v>
      </c>
      <c r="AE17" t="str">
        <f t="shared" si="15"/>
        <v/>
      </c>
      <c r="AF17" t="str">
        <f>IF(AG17="", "", MAX(AF$4:$AF16)+1)</f>
        <v/>
      </c>
      <c r="AG17" s="8" t="str">
        <f>IF(AND(AND(Amount_Requested&gt;=J17, Amount_Requested&lt;=K17,  Amount_Requested&lt;=MAX(Calculations!G22:H22), OR(Amount_Requested&lt;=MIN(Calculations!B22,Refer_Min), Amount_Requested&gt;=MIN(Calculations!D22,Refer_Min)), Calculations!$A$57="AIP")),AA17, "")</f>
        <v/>
      </c>
      <c r="AH17" s="83" t="str">
        <f t="shared" si="25"/>
        <v/>
      </c>
      <c r="AI17" s="87" t="str">
        <f t="shared" si="26"/>
        <v/>
      </c>
      <c r="AJ17" s="91" t="str">
        <f t="shared" si="27"/>
        <v/>
      </c>
      <c r="AK17" t="str">
        <f t="shared" si="19"/>
        <v/>
      </c>
      <c r="AM17" s="116" t="str">
        <f t="shared" si="1"/>
        <v/>
      </c>
      <c r="AN17" s="117" t="str">
        <f t="shared" si="2"/>
        <v/>
      </c>
      <c r="AO17" s="118" t="str">
        <f t="shared" si="3"/>
        <v/>
      </c>
      <c r="AP17" s="119" t="str">
        <f t="shared" si="4"/>
        <v/>
      </c>
      <c r="AQ17" s="120" t="str">
        <f t="shared" si="20"/>
        <v/>
      </c>
      <c r="AR17" s="121"/>
      <c r="AT17" s="8" t="str">
        <f t="shared" si="6"/>
        <v/>
      </c>
      <c r="AU17" s="83" t="str">
        <f t="shared" si="7"/>
        <v/>
      </c>
      <c r="AV17" s="87" t="str">
        <f t="shared" si="8"/>
        <v/>
      </c>
      <c r="AW17" s="91" t="str">
        <f t="shared" si="9"/>
        <v/>
      </c>
    </row>
    <row r="18" spans="1:49" x14ac:dyDescent="0.25">
      <c r="A18" s="27"/>
      <c r="C18" s="10" t="s">
        <v>735</v>
      </c>
      <c r="D18" s="209">
        <v>80000</v>
      </c>
      <c r="F18" s="190" t="s">
        <v>723</v>
      </c>
      <c r="G18" s="199">
        <f t="shared" ref="G18:H29" si="31">G5</f>
        <v>6.8900000000000003E-2</v>
      </c>
      <c r="H18" s="200">
        <f t="shared" si="31"/>
        <v>7.3999999999999996E-2</v>
      </c>
      <c r="I18" s="193">
        <v>0.65</v>
      </c>
      <c r="J18" s="194">
        <v>100000</v>
      </c>
      <c r="K18" s="194">
        <v>399999</v>
      </c>
      <c r="L18" s="191">
        <f t="shared" si="0"/>
        <v>5.0000000000000044E-3</v>
      </c>
      <c r="M18" s="191"/>
      <c r="N18" s="195">
        <v>30</v>
      </c>
      <c r="O18" s="195"/>
      <c r="P18" s="196" t="str">
        <f t="shared" ref="P18:P27" si="32">P5</f>
        <v>No</v>
      </c>
      <c r="Q18" s="194" t="s">
        <v>52</v>
      </c>
      <c r="R18" s="194">
        <v>4999</v>
      </c>
      <c r="S18" s="194">
        <v>4999</v>
      </c>
      <c r="T18" s="197" t="str">
        <f t="shared" ref="T18:T26" si="33">T5</f>
        <v>No</v>
      </c>
      <c r="U18" s="198" t="s">
        <v>700</v>
      </c>
      <c r="V18" t="str">
        <f>IF(OR(AND(Input!$B$47="Purchase",T18="No",Input!$B$49="yes",Q18="yes",P18="Yes"),AND(Input!$B$47="Remortgage",T18="Yes",Input!$B$49="yes",Q18="yes",P18="Yes")),"OK","")</f>
        <v/>
      </c>
      <c r="W18" t="str">
        <f>IF(OR(AND(Input!$B$47="Purchase",T18="No",Input!$B$49="No",Q18="",P18="Yes"),AND(Input!$B$47="Remortgage",T18="Yes",Input!$B$49="No",Q18="",P18="Yes")),"OK","")</f>
        <v/>
      </c>
      <c r="X18" t="str">
        <f t="shared" si="14"/>
        <v/>
      </c>
      <c r="Y18" t="str">
        <f>IF(AA18="", "", MAX(Y$4:$Y17)+1)</f>
        <v/>
      </c>
      <c r="AA18" s="8" t="str">
        <f t="shared" si="10"/>
        <v/>
      </c>
      <c r="AB18" s="82" t="str">
        <f t="shared" si="11"/>
        <v/>
      </c>
      <c r="AC18" s="86" t="str">
        <f t="shared" si="12"/>
        <v/>
      </c>
      <c r="AD18" s="91">
        <f>IF(Input!$B$47="Purchase", R18, S18)</f>
        <v>4999</v>
      </c>
      <c r="AE18" t="str">
        <f t="shared" si="15"/>
        <v/>
      </c>
      <c r="AF18" t="str">
        <f>IF(AG18="", "", MAX(AF$4:$AF17)+1)</f>
        <v/>
      </c>
      <c r="AG18" s="8" t="str">
        <f>IF(AND(AND(Amount_Requested&gt;=J18, Amount_Requested&lt;=K18,  Amount_Requested&lt;=MAX(Calculations!G23:H23), OR(Amount_Requested&lt;=MIN(Calculations!B23,Refer_Min), Amount_Requested&gt;=MIN(Calculations!D23,Refer_Min)), Calculations!$A$57="AIP")),AA18, "")</f>
        <v/>
      </c>
      <c r="AH18" s="83" t="str">
        <f t="shared" si="25"/>
        <v/>
      </c>
      <c r="AI18" s="87" t="str">
        <f t="shared" si="26"/>
        <v/>
      </c>
      <c r="AJ18" s="91" t="str">
        <f t="shared" si="27"/>
        <v/>
      </c>
      <c r="AK18" t="str">
        <f t="shared" si="19"/>
        <v/>
      </c>
      <c r="AM18" s="116" t="str">
        <f t="shared" si="1"/>
        <v/>
      </c>
      <c r="AN18" s="117" t="str">
        <f t="shared" si="2"/>
        <v/>
      </c>
      <c r="AO18" s="118" t="str">
        <f t="shared" si="3"/>
        <v/>
      </c>
      <c r="AP18" s="119" t="str">
        <f t="shared" si="4"/>
        <v/>
      </c>
      <c r="AQ18" s="120" t="str">
        <f t="shared" si="20"/>
        <v/>
      </c>
      <c r="AR18" s="121"/>
      <c r="AT18" s="8" t="str">
        <f t="shared" si="6"/>
        <v/>
      </c>
      <c r="AU18" s="83" t="str">
        <f t="shared" si="7"/>
        <v/>
      </c>
      <c r="AV18" s="87" t="str">
        <f t="shared" si="8"/>
        <v/>
      </c>
      <c r="AW18" s="91" t="str">
        <f t="shared" si="9"/>
        <v/>
      </c>
    </row>
    <row r="19" spans="1:49" x14ac:dyDescent="0.25">
      <c r="F19" s="190" t="s">
        <v>713</v>
      </c>
      <c r="G19" s="199">
        <f t="shared" ref="G19:H21" si="34">G6</f>
        <v>7.0900000000000005E-2</v>
      </c>
      <c r="H19" s="200">
        <f t="shared" si="34"/>
        <v>7.3999999999999996E-2</v>
      </c>
      <c r="I19" s="193">
        <v>0.65</v>
      </c>
      <c r="J19" s="194">
        <v>100000</v>
      </c>
      <c r="K19" s="194">
        <f>K6</f>
        <v>399999</v>
      </c>
      <c r="L19" s="191">
        <f t="shared" si="0"/>
        <v>5.0000000000000044E-3</v>
      </c>
      <c r="M19" s="191"/>
      <c r="N19" s="195">
        <v>30</v>
      </c>
      <c r="O19" s="195"/>
      <c r="P19" s="196" t="s">
        <v>52</v>
      </c>
      <c r="Q19" s="194" t="s">
        <v>52</v>
      </c>
      <c r="R19" s="194">
        <v>4999</v>
      </c>
      <c r="S19" s="194">
        <v>4999</v>
      </c>
      <c r="T19" s="197" t="str">
        <f>T6</f>
        <v>No</v>
      </c>
      <c r="U19" s="198" t="s">
        <v>700</v>
      </c>
      <c r="V19" t="str">
        <f>IF(OR(AND(Input!$B$47="Purchase",T19="No",Input!$B$49="yes",Q19="yes",P19="Yes"),AND(Input!$B$47="Remortgage",T19="Yes",Input!$B$49="yes",Q19="yes",P19="Yes")),"OK","")</f>
        <v/>
      </c>
      <c r="W19" t="str">
        <f>IF(OR(AND(Input!$B$47="Purchase",T19="No",Input!$B$49="No",Q19="",P19="Yes"),AND(Input!$B$47="Remortgage",T19="Yes",Input!$B$49="No",Q19="",P19="Yes")),"OK","")</f>
        <v/>
      </c>
      <c r="X19" t="str">
        <f t="shared" si="14"/>
        <v/>
      </c>
      <c r="Y19" t="str">
        <f>IF(AA19="", "", MAX(Y$4:$Y18)+1)</f>
        <v/>
      </c>
      <c r="AA19" s="8" t="str">
        <f t="shared" si="10"/>
        <v/>
      </c>
      <c r="AB19" s="82" t="str">
        <f t="shared" si="11"/>
        <v/>
      </c>
      <c r="AC19" s="86" t="str">
        <f t="shared" si="12"/>
        <v/>
      </c>
      <c r="AD19" s="91">
        <f>IF(Input!$B$47="Purchase", R19, S19)</f>
        <v>4999</v>
      </c>
      <c r="AE19" t="str">
        <f t="shared" si="15"/>
        <v/>
      </c>
      <c r="AF19" t="str">
        <f>IF(AG19="", "", MAX(AF$4:$AF18)+1)</f>
        <v/>
      </c>
      <c r="AG19" s="8" t="str">
        <f>IF(AND(AND(Amount_Requested&gt;=J19, Amount_Requested&lt;=K19,  Amount_Requested&lt;=MAX(Calculations!G24:H24), OR(Amount_Requested&lt;=MIN(Calculations!B24,Refer_Min), Amount_Requested&gt;=MIN(Calculations!D24,Refer_Min)), Calculations!$A$57="AIP")),AA19, "")</f>
        <v/>
      </c>
      <c r="AH19" s="83" t="str">
        <f t="shared" si="25"/>
        <v/>
      </c>
      <c r="AI19" s="87" t="str">
        <f t="shared" si="26"/>
        <v/>
      </c>
      <c r="AJ19" s="91" t="str">
        <f t="shared" si="27"/>
        <v/>
      </c>
      <c r="AK19" t="str">
        <f t="shared" si="19"/>
        <v/>
      </c>
      <c r="AM19" s="116" t="str">
        <f t="shared" si="1"/>
        <v/>
      </c>
      <c r="AN19" s="117" t="str">
        <f t="shared" si="2"/>
        <v/>
      </c>
      <c r="AO19" s="118" t="str">
        <f t="shared" si="3"/>
        <v/>
      </c>
      <c r="AP19" s="119" t="str">
        <f t="shared" si="4"/>
        <v/>
      </c>
      <c r="AQ19" s="120" t="str">
        <f t="shared" si="20"/>
        <v/>
      </c>
      <c r="AR19" s="121"/>
      <c r="AT19" s="8" t="str">
        <f t="shared" si="6"/>
        <v/>
      </c>
      <c r="AU19" s="83" t="str">
        <f t="shared" si="7"/>
        <v/>
      </c>
      <c r="AV19" s="87" t="str">
        <f t="shared" si="8"/>
        <v/>
      </c>
      <c r="AW19" s="91" t="str">
        <f t="shared" si="9"/>
        <v/>
      </c>
    </row>
    <row r="20" spans="1:49" x14ac:dyDescent="0.25">
      <c r="A20" s="5" t="s">
        <v>29</v>
      </c>
      <c r="B20" s="7"/>
      <c r="C20" s="179" t="s">
        <v>695</v>
      </c>
      <c r="D20" s="180">
        <v>0.65</v>
      </c>
      <c r="F20" s="190" t="s">
        <v>724</v>
      </c>
      <c r="G20" s="199">
        <f t="shared" si="34"/>
        <v>6.4899999999999999E-2</v>
      </c>
      <c r="H20" s="200">
        <f t="shared" si="34"/>
        <v>7.1999999999999995E-2</v>
      </c>
      <c r="I20" s="193">
        <v>0.65</v>
      </c>
      <c r="J20" s="194">
        <v>400000</v>
      </c>
      <c r="K20" s="194">
        <f>K7</f>
        <v>5000000</v>
      </c>
      <c r="L20" s="191">
        <f t="shared" si="0"/>
        <v>5.0000000000000044E-3</v>
      </c>
      <c r="M20" s="191"/>
      <c r="N20" s="195">
        <v>30</v>
      </c>
      <c r="O20" s="195"/>
      <c r="P20" s="196" t="str">
        <f>P7</f>
        <v>No</v>
      </c>
      <c r="Q20" s="194" t="s">
        <v>52</v>
      </c>
      <c r="R20" s="194">
        <v>4999</v>
      </c>
      <c r="S20" s="194">
        <v>4999</v>
      </c>
      <c r="T20" s="197" t="str">
        <f>T7</f>
        <v>No</v>
      </c>
      <c r="U20" s="198" t="s">
        <v>700</v>
      </c>
      <c r="V20" t="str">
        <f>IF(OR(AND(Input!$B$47="Purchase",T20="No",Input!$B$49="yes",Q20="yes",P20="Yes"),AND(Input!$B$47="Remortgage",T20="Yes",Input!$B$49="yes",Q20="yes",P20="Yes")),"OK","")</f>
        <v/>
      </c>
      <c r="W20" t="str">
        <f>IF(OR(AND(Input!$B$47="Purchase",T20="No",Input!$B$49="No",Q20="",P20="Yes"),AND(Input!$B$47="Remortgage",T20="Yes",Input!$B$49="No",Q20="",P20="Yes")),"OK","")</f>
        <v/>
      </c>
      <c r="X20" t="str">
        <f t="shared" si="14"/>
        <v/>
      </c>
      <c r="Y20" t="str">
        <f>IF(AA20="", "", MAX(Y$4:$Y19)+1)</f>
        <v/>
      </c>
      <c r="AA20" s="8" t="str">
        <f t="shared" si="10"/>
        <v/>
      </c>
      <c r="AB20" s="82" t="str">
        <f t="shared" si="11"/>
        <v/>
      </c>
      <c r="AC20" s="86" t="str">
        <f t="shared" si="12"/>
        <v/>
      </c>
      <c r="AD20" s="91">
        <f>IF(Input!$B$47="Purchase", R20, S20)</f>
        <v>4999</v>
      </c>
      <c r="AE20" t="str">
        <f t="shared" si="15"/>
        <v/>
      </c>
      <c r="AF20" t="str">
        <f>IF(AG20="", "", MAX(AF$4:$AF19)+1)</f>
        <v/>
      </c>
      <c r="AG20" s="8" t="str">
        <f>IF(AND(AND(Amount_Requested&gt;=J20, Amount_Requested&lt;=K20,  Amount_Requested&lt;=MAX(Calculations!G25:H25), OR(Amount_Requested&lt;=MIN(Calculations!B25,Refer_Min), Amount_Requested&gt;=MIN(Calculations!D25,Refer_Min)), Calculations!$A$57="AIP")),AA20, "")</f>
        <v/>
      </c>
      <c r="AH20" s="83" t="str">
        <f t="shared" si="25"/>
        <v/>
      </c>
      <c r="AI20" s="87" t="str">
        <f t="shared" si="26"/>
        <v/>
      </c>
      <c r="AJ20" s="91" t="str">
        <f t="shared" si="27"/>
        <v/>
      </c>
      <c r="AK20" t="str">
        <f t="shared" si="19"/>
        <v/>
      </c>
      <c r="AM20" s="116" t="str">
        <f t="shared" si="1"/>
        <v/>
      </c>
      <c r="AN20" s="117" t="str">
        <f t="shared" si="2"/>
        <v/>
      </c>
      <c r="AO20" s="118" t="str">
        <f t="shared" si="3"/>
        <v/>
      </c>
      <c r="AP20" s="119" t="str">
        <f t="shared" si="4"/>
        <v/>
      </c>
      <c r="AQ20" s="120" t="str">
        <f t="shared" si="20"/>
        <v/>
      </c>
      <c r="AR20" s="121"/>
      <c r="AT20" s="8" t="str">
        <f t="shared" si="6"/>
        <v/>
      </c>
      <c r="AU20" s="83" t="str">
        <f t="shared" si="7"/>
        <v/>
      </c>
      <c r="AV20" s="87" t="str">
        <f t="shared" si="8"/>
        <v/>
      </c>
      <c r="AW20" s="91" t="str">
        <f t="shared" si="9"/>
        <v/>
      </c>
    </row>
    <row r="21" spans="1:49" x14ac:dyDescent="0.25">
      <c r="A21" s="8"/>
      <c r="B21" s="43"/>
      <c r="C21" s="181" t="s">
        <v>696</v>
      </c>
      <c r="D21" s="182">
        <v>200000</v>
      </c>
      <c r="F21" s="190" t="s">
        <v>734</v>
      </c>
      <c r="G21" s="199">
        <f t="shared" si="34"/>
        <v>5.9900000000000002E-2</v>
      </c>
      <c r="H21" s="200">
        <f t="shared" si="34"/>
        <v>7.0000000000000007E-2</v>
      </c>
      <c r="I21" s="193">
        <v>0.65</v>
      </c>
      <c r="J21" s="194">
        <v>400000</v>
      </c>
      <c r="K21" s="194">
        <f>K8</f>
        <v>5000000</v>
      </c>
      <c r="L21" s="191">
        <f t="shared" si="0"/>
        <v>-1.4999999999999993E-2</v>
      </c>
      <c r="M21" s="191"/>
      <c r="N21" s="195">
        <v>30</v>
      </c>
      <c r="O21" s="195"/>
      <c r="P21" s="196" t="str">
        <f>P8</f>
        <v>Yes</v>
      </c>
      <c r="Q21" s="194" t="s">
        <v>52</v>
      </c>
      <c r="R21" s="194">
        <v>4999</v>
      </c>
      <c r="S21" s="194">
        <v>4999</v>
      </c>
      <c r="T21" s="197" t="str">
        <f>T8</f>
        <v>No</v>
      </c>
      <c r="U21" s="198" t="s">
        <v>701</v>
      </c>
      <c r="V21" t="str">
        <f>IF(OR(AND(Input!$B$47="Purchase",T21="No",Input!$B$49="yes",Q21="yes",P21="Yes"),AND(Input!$B$47="Remortgage",T21="Yes",Input!$B$49="yes",Q21="yes",P21="Yes")),"OK","")</f>
        <v/>
      </c>
      <c r="W21" t="str">
        <f>IF(OR(AND(Input!$B$47="Purchase",T21="No",Input!$B$49="No",Q21="",P21="Yes"),AND(Input!$B$47="Remortgage",T21="Yes",Input!$B$49="No",Q21="",P21="Yes")),"OK","")</f>
        <v/>
      </c>
      <c r="X21" t="str">
        <f t="shared" si="14"/>
        <v/>
      </c>
      <c r="Y21" t="str">
        <f>IF(AA21="", "", MAX(Y$4:$Y20)+1)</f>
        <v/>
      </c>
      <c r="AA21" s="8" t="str">
        <f t="shared" si="10"/>
        <v/>
      </c>
      <c r="AB21" s="82" t="str">
        <f t="shared" si="11"/>
        <v/>
      </c>
      <c r="AC21" s="86" t="str">
        <f t="shared" si="12"/>
        <v/>
      </c>
      <c r="AD21" s="91">
        <f>IF(Input!$B$47="Purchase", R21, S21)</f>
        <v>4999</v>
      </c>
      <c r="AE21" t="str">
        <f t="shared" si="15"/>
        <v/>
      </c>
      <c r="AF21" t="str">
        <f>IF(AG21="", "", MAX(AF$4:$AF20)+1)</f>
        <v/>
      </c>
      <c r="AG21" s="8" t="str">
        <f>IF(AND(AND(Amount_Requested&gt;=J21, Amount_Requested&lt;=K21,  Amount_Requested&lt;=MAX(Calculations!G26:H26), OR(Amount_Requested&lt;=MIN(Calculations!B26,Refer_Min), Amount_Requested&gt;=MIN(Calculations!D26,Refer_Min)), Calculations!$A$57="AIP")),AA21, "")</f>
        <v/>
      </c>
      <c r="AH21" s="83" t="str">
        <f t="shared" si="25"/>
        <v/>
      </c>
      <c r="AI21" s="87" t="str">
        <f t="shared" si="26"/>
        <v/>
      </c>
      <c r="AJ21" s="91" t="str">
        <f t="shared" si="27"/>
        <v/>
      </c>
      <c r="AK21" t="str">
        <f t="shared" si="19"/>
        <v/>
      </c>
      <c r="AM21" s="116" t="str">
        <f t="shared" si="1"/>
        <v/>
      </c>
      <c r="AN21" s="117" t="str">
        <f t="shared" si="2"/>
        <v/>
      </c>
      <c r="AO21" s="118" t="str">
        <f t="shared" si="3"/>
        <v/>
      </c>
      <c r="AP21" s="119" t="str">
        <f t="shared" si="4"/>
        <v/>
      </c>
      <c r="AQ21" s="120" t="str">
        <f t="shared" si="20"/>
        <v/>
      </c>
      <c r="AR21" s="121"/>
      <c r="AT21" s="8" t="str">
        <f t="shared" si="6"/>
        <v/>
      </c>
      <c r="AU21" s="83" t="str">
        <f t="shared" si="7"/>
        <v/>
      </c>
      <c r="AV21" s="87" t="str">
        <f t="shared" si="8"/>
        <v/>
      </c>
      <c r="AW21" s="91" t="str">
        <f t="shared" si="9"/>
        <v/>
      </c>
    </row>
    <row r="22" spans="1:49" x14ac:dyDescent="0.25">
      <c r="A22" s="8" t="s">
        <v>19</v>
      </c>
      <c r="B22" s="43">
        <v>0</v>
      </c>
      <c r="C22" s="44"/>
      <c r="D22" s="44"/>
      <c r="F22" s="190" t="s">
        <v>737</v>
      </c>
      <c r="G22" s="199">
        <f t="shared" si="31"/>
        <v>6.2899999999999998E-2</v>
      </c>
      <c r="H22" s="200">
        <f t="shared" si="31"/>
        <v>7.0999999999999994E-2</v>
      </c>
      <c r="I22" s="193">
        <v>0.65</v>
      </c>
      <c r="J22" s="194">
        <v>200000</v>
      </c>
      <c r="K22" s="194">
        <v>5000000</v>
      </c>
      <c r="L22" s="191">
        <f t="shared" si="0"/>
        <v>-1.1999999999999997E-2</v>
      </c>
      <c r="M22" s="191"/>
      <c r="N22" s="195">
        <v>30</v>
      </c>
      <c r="O22" s="195"/>
      <c r="P22" s="196" t="s">
        <v>52</v>
      </c>
      <c r="Q22" s="194" t="s">
        <v>52</v>
      </c>
      <c r="R22" s="194">
        <v>4999</v>
      </c>
      <c r="S22" s="194">
        <v>4999</v>
      </c>
      <c r="T22" s="197" t="str">
        <f t="shared" si="33"/>
        <v>No</v>
      </c>
      <c r="U22" s="198" t="s">
        <v>701</v>
      </c>
      <c r="V22" t="str">
        <f>IF(OR(AND(Input!$B$47="Purchase",T22="No",Input!$B$49="yes",Q22="yes",P22="Yes"),AND(Input!$B$47="Remortgage",T22="Yes",Input!$B$49="yes",Q22="yes",P22="Yes")),"OK","")</f>
        <v/>
      </c>
      <c r="W22" t="str">
        <f>IF(OR(AND(Input!$B$47="Purchase",T22="No",Input!$B$49="No",Q22="",P22="Yes"),AND(Input!$B$47="Remortgage",T22="Yes",Input!$B$49="No",Q22="",P22="Yes")),"OK","")</f>
        <v/>
      </c>
      <c r="X22" t="str">
        <f t="shared" si="14"/>
        <v/>
      </c>
      <c r="Y22" t="str">
        <f>IF(AA22="", "", MAX(Y$4:$Y21)+1)</f>
        <v/>
      </c>
      <c r="AA22" s="8" t="str">
        <f t="shared" si="10"/>
        <v/>
      </c>
      <c r="AB22" s="82" t="str">
        <f t="shared" si="11"/>
        <v/>
      </c>
      <c r="AC22" s="86" t="str">
        <f t="shared" si="12"/>
        <v/>
      </c>
      <c r="AD22" s="91">
        <f>IF(Input!$B$47="Purchase", R22, S22)</f>
        <v>4999</v>
      </c>
      <c r="AE22" t="str">
        <f t="shared" si="15"/>
        <v/>
      </c>
      <c r="AF22" t="str">
        <f>IF(AG22="", "", MAX(AF$4:$AF21)+1)</f>
        <v/>
      </c>
      <c r="AG22" s="8" t="str">
        <f>IF(AND(AND(Amount_Requested&gt;=J22, Amount_Requested&lt;=K22,  Amount_Requested&lt;=MAX(Calculations!G27:H27), OR(Amount_Requested&lt;=MIN(Calculations!B27,Refer_Min), Amount_Requested&gt;=MIN(Calculations!D27,Refer_Min)), Calculations!$A$57="AIP")),AA22, "")</f>
        <v/>
      </c>
      <c r="AH22" s="83" t="str">
        <f t="shared" si="25"/>
        <v/>
      </c>
      <c r="AI22" s="87" t="str">
        <f t="shared" si="26"/>
        <v/>
      </c>
      <c r="AJ22" s="91" t="str">
        <f t="shared" si="27"/>
        <v/>
      </c>
      <c r="AK22" t="str">
        <f t="shared" si="19"/>
        <v/>
      </c>
      <c r="AM22" s="116" t="str">
        <f t="shared" si="1"/>
        <v/>
      </c>
      <c r="AN22" s="117" t="str">
        <f t="shared" si="2"/>
        <v/>
      </c>
      <c r="AO22" s="118" t="str">
        <f t="shared" si="3"/>
        <v/>
      </c>
      <c r="AP22" s="119" t="str">
        <f t="shared" si="4"/>
        <v/>
      </c>
      <c r="AQ22" s="120" t="str">
        <f t="shared" si="20"/>
        <v/>
      </c>
      <c r="AR22" s="121"/>
      <c r="AT22" s="8" t="str">
        <f t="shared" si="6"/>
        <v/>
      </c>
      <c r="AU22" s="83" t="str">
        <f t="shared" si="7"/>
        <v/>
      </c>
      <c r="AV22" s="87" t="str">
        <f t="shared" si="8"/>
        <v/>
      </c>
      <c r="AW22" s="91" t="str">
        <f t="shared" si="9"/>
        <v/>
      </c>
    </row>
    <row r="23" spans="1:49" x14ac:dyDescent="0.25">
      <c r="A23" s="10"/>
      <c r="B23" s="143"/>
      <c r="C23" s="44"/>
      <c r="D23" s="44"/>
      <c r="F23" s="190" t="s">
        <v>712</v>
      </c>
      <c r="G23" s="199">
        <f>G10</f>
        <v>6.4899999999999999E-2</v>
      </c>
      <c r="H23" s="200">
        <f>H10</f>
        <v>7.0999999999999994E-2</v>
      </c>
      <c r="I23" s="193">
        <v>0.65</v>
      </c>
      <c r="J23" s="194">
        <v>400000</v>
      </c>
      <c r="K23" s="194">
        <f>K10</f>
        <v>5000000</v>
      </c>
      <c r="L23" s="191">
        <f t="shared" si="0"/>
        <v>5.0000000000000044E-3</v>
      </c>
      <c r="M23" s="191"/>
      <c r="N23" s="195">
        <v>30</v>
      </c>
      <c r="O23" s="195"/>
      <c r="P23" s="196" t="s">
        <v>52</v>
      </c>
      <c r="Q23" s="194" t="s">
        <v>52</v>
      </c>
      <c r="R23" s="194">
        <v>4999</v>
      </c>
      <c r="S23" s="194">
        <v>4999</v>
      </c>
      <c r="T23" s="197" t="str">
        <f>T10</f>
        <v>No</v>
      </c>
      <c r="U23" s="198" t="s">
        <v>700</v>
      </c>
      <c r="V23" t="str">
        <f>IF(OR(AND(Input!$B$47="Purchase",T23="No",Input!$B$49="yes",Q23="yes",P23="Yes"),AND(Input!$B$47="Remortgage",T23="Yes",Input!$B$49="yes",Q23="yes",P23="Yes")),"OK","")</f>
        <v/>
      </c>
      <c r="W23" t="str">
        <f>IF(OR(AND(Input!$B$47="Purchase",T23="No",Input!$B$49="No",Q23="",P23="Yes"),AND(Input!$B$47="Remortgage",T23="Yes",Input!$B$49="No",Q23="",P23="Yes")),"OK","")</f>
        <v/>
      </c>
      <c r="X23" t="str">
        <f t="shared" si="14"/>
        <v/>
      </c>
      <c r="Y23" t="str">
        <f>IF(AA23="", "", MAX(Y$4:$Y22)+1)</f>
        <v/>
      </c>
      <c r="AA23" s="8" t="str">
        <f t="shared" si="10"/>
        <v/>
      </c>
      <c r="AB23" s="82" t="str">
        <f t="shared" si="11"/>
        <v/>
      </c>
      <c r="AC23" s="86" t="str">
        <f t="shared" si="12"/>
        <v/>
      </c>
      <c r="AD23" s="91">
        <f>IF(Input!$B$47="Purchase", R23, S23)</f>
        <v>4999</v>
      </c>
      <c r="AE23" t="str">
        <f t="shared" si="15"/>
        <v/>
      </c>
      <c r="AF23" t="str">
        <f>IF(AG23="", "", MAX(AF$4:$AF22)+1)</f>
        <v/>
      </c>
      <c r="AG23" s="8" t="str">
        <f>IF(AND(AND(Amount_Requested&gt;=J23, Amount_Requested&lt;=K23,  Amount_Requested&lt;=MAX(Calculations!G28:H28), OR(Amount_Requested&lt;=MIN(Calculations!B28,Refer_Min), Amount_Requested&gt;=MIN(Calculations!D28,Refer_Min)), Calculations!$A$57="AIP")),AA23, "")</f>
        <v/>
      </c>
      <c r="AH23" s="83" t="str">
        <f t="shared" si="25"/>
        <v/>
      </c>
      <c r="AI23" s="87" t="str">
        <f t="shared" si="26"/>
        <v/>
      </c>
      <c r="AJ23" s="91" t="str">
        <f t="shared" si="27"/>
        <v/>
      </c>
      <c r="AK23" t="str">
        <f t="shared" si="19"/>
        <v/>
      </c>
      <c r="AM23" s="116" t="str">
        <f t="shared" si="1"/>
        <v/>
      </c>
      <c r="AN23" s="117" t="str">
        <f t="shared" si="2"/>
        <v/>
      </c>
      <c r="AO23" s="118" t="str">
        <f t="shared" si="3"/>
        <v/>
      </c>
      <c r="AP23" s="119" t="str">
        <f t="shared" si="4"/>
        <v/>
      </c>
      <c r="AQ23" s="120" t="str">
        <f t="shared" si="20"/>
        <v/>
      </c>
      <c r="AR23" s="121"/>
      <c r="AT23" s="8" t="str">
        <f t="shared" si="6"/>
        <v/>
      </c>
      <c r="AU23" s="83" t="str">
        <f t="shared" si="7"/>
        <v/>
      </c>
      <c r="AV23" s="87" t="str">
        <f t="shared" si="8"/>
        <v/>
      </c>
      <c r="AW23" s="91" t="str">
        <f t="shared" si="9"/>
        <v/>
      </c>
    </row>
    <row r="24" spans="1:49" x14ac:dyDescent="0.25">
      <c r="B24" s="104"/>
      <c r="C24" s="44"/>
      <c r="D24" s="44"/>
      <c r="F24" s="190" t="str">
        <f>F18</f>
        <v>BTL BRT (CUT07): £100k-£399k</v>
      </c>
      <c r="G24" s="199">
        <f t="shared" si="31"/>
        <v>6.8900000000000003E-2</v>
      </c>
      <c r="H24" s="200">
        <f t="shared" si="31"/>
        <v>7.3999999999999996E-2</v>
      </c>
      <c r="I24" s="193">
        <v>0.65</v>
      </c>
      <c r="J24" s="194">
        <v>100000</v>
      </c>
      <c r="K24" s="194">
        <v>399999</v>
      </c>
      <c r="L24" s="191">
        <f t="shared" si="0"/>
        <v>5.0000000000000044E-3</v>
      </c>
      <c r="M24" s="191"/>
      <c r="N24" s="195">
        <v>30</v>
      </c>
      <c r="O24" s="195"/>
      <c r="P24" s="196" t="str">
        <f t="shared" si="32"/>
        <v>No</v>
      </c>
      <c r="Q24" s="194" t="s">
        <v>52</v>
      </c>
      <c r="R24" s="194">
        <v>4999</v>
      </c>
      <c r="S24" s="194">
        <v>4999</v>
      </c>
      <c r="T24" s="197" t="str">
        <f t="shared" si="33"/>
        <v>No</v>
      </c>
      <c r="U24" s="198" t="s">
        <v>700</v>
      </c>
      <c r="V24" t="str">
        <f>IF(OR(AND(Input!$B$47="Purchase",T24="No",Input!$B$49="yes",Q24="yes",P24="Yes"),AND(Input!$B$47="Remortgage",T24="Yes",Input!$B$49="yes",Q24="yes",P24="Yes")),"OK","")</f>
        <v/>
      </c>
      <c r="W24" t="str">
        <f>IF(OR(AND(Input!$B$47="Purchase",T24="No",Input!$B$49="No",Q24="",P24="Yes"),AND(Input!$B$47="Remortgage",T24="Yes",Input!$B$49="No",Q24="",P24="Yes")),"OK","")</f>
        <v/>
      </c>
      <c r="X24" t="str">
        <f t="shared" si="14"/>
        <v/>
      </c>
      <c r="Y24" t="str">
        <f>IF(AA24="", "", MAX(Y$4:$Y23)+1)</f>
        <v/>
      </c>
      <c r="AA24" s="8" t="str">
        <f t="shared" si="10"/>
        <v/>
      </c>
      <c r="AB24" s="82" t="str">
        <f t="shared" si="11"/>
        <v/>
      </c>
      <c r="AC24" s="86" t="str">
        <f t="shared" si="12"/>
        <v/>
      </c>
      <c r="AD24" s="91">
        <f>IF(Input!$B$47="Purchase", R24, S24)</f>
        <v>4999</v>
      </c>
      <c r="AE24" t="str">
        <f t="shared" si="15"/>
        <v/>
      </c>
      <c r="AF24" t="str">
        <f>IF(AG24="", "", MAX(AF$4:$AF23)+1)</f>
        <v/>
      </c>
      <c r="AG24" s="8" t="str">
        <f>IF(AND(AND(Amount_Requested&gt;=J24, Amount_Requested&lt;=K24,  Amount_Requested&lt;=MAX(Calculations!G29:H29), OR(Amount_Requested&lt;=MIN(Calculations!B29,Refer_Min), Amount_Requested&gt;=MIN(Calculations!D29,Refer_Min)), Calculations!$A$57="AIP")),AA24, "")</f>
        <v/>
      </c>
      <c r="AH24" s="83" t="str">
        <f t="shared" si="25"/>
        <v/>
      </c>
      <c r="AI24" s="87" t="str">
        <f t="shared" si="26"/>
        <v/>
      </c>
      <c r="AJ24" s="91" t="str">
        <f t="shared" si="27"/>
        <v/>
      </c>
      <c r="AK24" t="str">
        <f t="shared" si="19"/>
        <v/>
      </c>
      <c r="AM24" s="116" t="str">
        <f t="shared" si="1"/>
        <v/>
      </c>
      <c r="AN24" s="117" t="str">
        <f t="shared" si="2"/>
        <v/>
      </c>
      <c r="AO24" s="118" t="str">
        <f t="shared" si="3"/>
        <v/>
      </c>
      <c r="AP24" s="119" t="str">
        <f t="shared" si="4"/>
        <v/>
      </c>
      <c r="AQ24" s="120" t="str">
        <f t="shared" si="20"/>
        <v/>
      </c>
      <c r="AR24" s="121"/>
      <c r="AT24" s="8" t="str">
        <f t="shared" si="6"/>
        <v/>
      </c>
      <c r="AU24" s="83" t="str">
        <f t="shared" si="7"/>
        <v/>
      </c>
      <c r="AV24" s="87" t="str">
        <f t="shared" si="8"/>
        <v/>
      </c>
      <c r="AW24" s="91" t="str">
        <f t="shared" si="9"/>
        <v/>
      </c>
    </row>
    <row r="25" spans="1:49" x14ac:dyDescent="0.25">
      <c r="A25" s="5" t="s">
        <v>176</v>
      </c>
      <c r="B25" s="144"/>
      <c r="C25" s="44"/>
      <c r="D25" s="44"/>
      <c r="F25" s="190" t="str">
        <f t="shared" ref="F25" si="35">F19</f>
        <v>BTL 3 Year Fixed (CUF09): Min Loan £100k</v>
      </c>
      <c r="G25" s="199">
        <f t="shared" si="31"/>
        <v>7.0900000000000005E-2</v>
      </c>
      <c r="H25" s="200">
        <f t="shared" si="31"/>
        <v>7.3999999999999996E-2</v>
      </c>
      <c r="I25" s="193">
        <v>0.65</v>
      </c>
      <c r="J25" s="194">
        <v>100000</v>
      </c>
      <c r="K25" s="194">
        <f t="shared" ref="K25:K29" si="36">K12</f>
        <v>399999</v>
      </c>
      <c r="L25" s="191">
        <f t="shared" si="0"/>
        <v>5.0000000000000044E-3</v>
      </c>
      <c r="M25" s="191"/>
      <c r="N25" s="195">
        <v>30</v>
      </c>
      <c r="O25" s="195"/>
      <c r="P25" s="196" t="s">
        <v>52</v>
      </c>
      <c r="Q25" s="194" t="s">
        <v>52</v>
      </c>
      <c r="R25" s="194">
        <v>4999</v>
      </c>
      <c r="S25" s="194">
        <v>4999</v>
      </c>
      <c r="T25" s="196" t="s">
        <v>52</v>
      </c>
      <c r="U25" s="198" t="s">
        <v>700</v>
      </c>
      <c r="V25" t="str">
        <f>IF(OR(AND(Input!$B$47="Purchase",T25="No",Input!$B$49="yes",Q25="yes",P25="Yes"),AND(Input!$B$47="Remortgage",T25="Yes",Input!$B$49="yes",Q25="yes",P25="Yes")),"OK","")</f>
        <v/>
      </c>
      <c r="W25" t="str">
        <f>IF(OR(AND(Input!$B$47="Purchase",T25="No",Input!$B$49="No",Q25="",P25="Yes"),AND(Input!$B$47="Remortgage",T25="Yes",Input!$B$49="No",Q25="",P25="Yes")),"OK","")</f>
        <v/>
      </c>
      <c r="X25" t="str">
        <f t="shared" si="14"/>
        <v/>
      </c>
      <c r="Y25" t="str">
        <f>IF(AA25="", "", MAX(Y$4:$Y24)+1)</f>
        <v/>
      </c>
      <c r="AA25" s="8" t="str">
        <f t="shared" si="10"/>
        <v/>
      </c>
      <c r="AB25" s="82" t="str">
        <f t="shared" si="11"/>
        <v/>
      </c>
      <c r="AC25" s="86" t="str">
        <f t="shared" si="12"/>
        <v/>
      </c>
      <c r="AD25" s="91">
        <f>IF(Input!$B$47="Purchase", R25, S25)</f>
        <v>4999</v>
      </c>
      <c r="AE25" t="str">
        <f t="shared" si="15"/>
        <v/>
      </c>
      <c r="AF25" t="str">
        <f>IF(AG25="", "", MAX(AF$4:$AF24)+1)</f>
        <v/>
      </c>
      <c r="AG25" s="8" t="str">
        <f>IF(AND(AND(Amount_Requested&gt;=J25, Amount_Requested&lt;=K25,  Amount_Requested&lt;=MAX(Calculations!G30:H30), OR(Amount_Requested&lt;=MIN(Calculations!B30,Refer_Min), Amount_Requested&gt;=MIN(Calculations!D30,Refer_Min)), Calculations!$A$57="AIP")),AA25, "")</f>
        <v/>
      </c>
      <c r="AH25" s="83" t="str">
        <f t="shared" si="25"/>
        <v/>
      </c>
      <c r="AI25" s="87" t="str">
        <f t="shared" si="26"/>
        <v/>
      </c>
      <c r="AJ25" s="91" t="str">
        <f t="shared" si="27"/>
        <v/>
      </c>
      <c r="AK25" t="str">
        <f t="shared" si="19"/>
        <v/>
      </c>
      <c r="AM25" s="116" t="str">
        <f t="shared" si="1"/>
        <v/>
      </c>
      <c r="AN25" s="117" t="str">
        <f t="shared" si="2"/>
        <v/>
      </c>
      <c r="AO25" s="118" t="str">
        <f t="shared" si="3"/>
        <v/>
      </c>
      <c r="AP25" s="119" t="str">
        <f t="shared" si="4"/>
        <v/>
      </c>
      <c r="AQ25" s="120" t="str">
        <f t="shared" si="20"/>
        <v/>
      </c>
      <c r="AR25" s="121"/>
      <c r="AT25" s="8" t="str">
        <f t="shared" si="6"/>
        <v/>
      </c>
      <c r="AU25" s="83" t="str">
        <f t="shared" si="7"/>
        <v/>
      </c>
      <c r="AV25" s="87" t="str">
        <f t="shared" si="8"/>
        <v/>
      </c>
      <c r="AW25" s="91" t="str">
        <f t="shared" si="9"/>
        <v/>
      </c>
    </row>
    <row r="26" spans="1:49" x14ac:dyDescent="0.25">
      <c r="A26" s="8" t="s">
        <v>177</v>
      </c>
      <c r="B26" s="66">
        <v>100000</v>
      </c>
      <c r="C26" s="44"/>
      <c r="D26" s="44"/>
      <c r="F26" s="190" t="str">
        <f t="shared" ref="F26" si="37">F20</f>
        <v>BTL BRT (CUT08): Min Loan £400k</v>
      </c>
      <c r="G26" s="199">
        <f t="shared" si="31"/>
        <v>6.4899999999999999E-2</v>
      </c>
      <c r="H26" s="200">
        <f t="shared" si="31"/>
        <v>7.1999999999999995E-2</v>
      </c>
      <c r="I26" s="193">
        <v>0.65</v>
      </c>
      <c r="J26" s="194">
        <v>400000</v>
      </c>
      <c r="K26" s="194">
        <f t="shared" si="36"/>
        <v>5000000</v>
      </c>
      <c r="L26" s="191">
        <f t="shared" si="0"/>
        <v>5.0000000000000044E-3</v>
      </c>
      <c r="M26" s="191"/>
      <c r="N26" s="195">
        <v>30</v>
      </c>
      <c r="O26" s="195"/>
      <c r="P26" s="196" t="str">
        <f t="shared" si="32"/>
        <v>No</v>
      </c>
      <c r="Q26" s="194" t="s">
        <v>52</v>
      </c>
      <c r="R26" s="194">
        <v>4999</v>
      </c>
      <c r="S26" s="194">
        <v>4999</v>
      </c>
      <c r="T26" s="197" t="str">
        <f t="shared" si="33"/>
        <v>No</v>
      </c>
      <c r="U26" s="198" t="s">
        <v>700</v>
      </c>
      <c r="V26" t="str">
        <f>IF(OR(AND(Input!$B$47="Purchase",T26="No",Input!$B$49="yes",Q26="yes",P26="Yes"),AND(Input!$B$47="Remortgage",T26="Yes",Input!$B$49="yes",Q26="yes",P26="Yes")),"OK","")</f>
        <v/>
      </c>
      <c r="W26" t="str">
        <f>IF(OR(AND(Input!$B$47="Purchase",T26="No",Input!$B$49="No",Q26="",P26="Yes"),AND(Input!$B$47="Remortgage",T26="Yes",Input!$B$49="No",Q26="",P26="Yes")),"OK","")</f>
        <v/>
      </c>
      <c r="X26" t="str">
        <f t="shared" si="14"/>
        <v/>
      </c>
      <c r="Y26" t="str">
        <f>IF(AA26="", "", MAX(Y$4:$Y25)+1)</f>
        <v/>
      </c>
      <c r="AA26" s="8" t="str">
        <f t="shared" si="10"/>
        <v/>
      </c>
      <c r="AB26" s="82" t="str">
        <f t="shared" si="11"/>
        <v/>
      </c>
      <c r="AC26" s="86" t="str">
        <f t="shared" si="12"/>
        <v/>
      </c>
      <c r="AD26" s="91">
        <f>IF(Input!$B$47="Purchase", R26, S26)</f>
        <v>4999</v>
      </c>
      <c r="AE26" t="str">
        <f t="shared" si="15"/>
        <v/>
      </c>
      <c r="AF26" t="str">
        <f>IF(AG26="", "", MAX(AF$4:$AF25)+1)</f>
        <v/>
      </c>
      <c r="AG26" s="8" t="str">
        <f>IF(AND(AND(Amount_Requested&gt;=J26, Amount_Requested&lt;=K26,  Amount_Requested&lt;=MAX(Calculations!G31:H31), OR(Amount_Requested&lt;=MIN(Calculations!B31,Refer_Min), Amount_Requested&gt;=MIN(Calculations!D31,Refer_Min)), Calculations!$A$57="AIP")),AA26, "")</f>
        <v/>
      </c>
      <c r="AH26" s="83" t="str">
        <f t="shared" si="25"/>
        <v/>
      </c>
      <c r="AI26" s="87" t="str">
        <f t="shared" si="26"/>
        <v/>
      </c>
      <c r="AJ26" s="91" t="str">
        <f t="shared" si="27"/>
        <v/>
      </c>
      <c r="AK26" t="str">
        <f t="shared" si="19"/>
        <v/>
      </c>
      <c r="AM26" s="116" t="str">
        <f t="shared" si="1"/>
        <v/>
      </c>
      <c r="AN26" s="117" t="str">
        <f t="shared" si="2"/>
        <v/>
      </c>
      <c r="AO26" s="118" t="str">
        <f t="shared" si="3"/>
        <v/>
      </c>
      <c r="AP26" s="119" t="str">
        <f t="shared" si="4"/>
        <v/>
      </c>
      <c r="AQ26" s="120" t="str">
        <f t="shared" si="20"/>
        <v/>
      </c>
      <c r="AR26" s="121"/>
      <c r="AT26" s="8" t="str">
        <f t="shared" si="6"/>
        <v/>
      </c>
      <c r="AU26" s="83" t="str">
        <f t="shared" si="7"/>
        <v/>
      </c>
      <c r="AV26" s="87" t="str">
        <f t="shared" si="8"/>
        <v/>
      </c>
      <c r="AW26" s="91" t="str">
        <f t="shared" si="9"/>
        <v/>
      </c>
    </row>
    <row r="27" spans="1:49" x14ac:dyDescent="0.25">
      <c r="A27" t="s">
        <v>717</v>
      </c>
      <c r="B27" s="66">
        <v>140000</v>
      </c>
      <c r="F27" s="190" t="str">
        <f>F21</f>
        <v>BTL 5 Year Fixed (CUF14): Min Loan £400k</v>
      </c>
      <c r="G27" s="199">
        <f t="shared" si="31"/>
        <v>5.9900000000000002E-2</v>
      </c>
      <c r="H27" s="200">
        <f t="shared" si="31"/>
        <v>7.0000000000000007E-2</v>
      </c>
      <c r="I27" s="193">
        <v>0.65</v>
      </c>
      <c r="J27" s="194">
        <v>400000</v>
      </c>
      <c r="K27" s="194">
        <f t="shared" si="36"/>
        <v>5000000</v>
      </c>
      <c r="L27" s="191">
        <f t="shared" si="0"/>
        <v>-1.4999999999999993E-2</v>
      </c>
      <c r="M27" s="191"/>
      <c r="N27" s="195">
        <v>30</v>
      </c>
      <c r="O27" s="195"/>
      <c r="P27" s="196" t="str">
        <f t="shared" si="32"/>
        <v>Yes</v>
      </c>
      <c r="Q27" s="194" t="s">
        <v>52</v>
      </c>
      <c r="R27" s="194">
        <v>4999</v>
      </c>
      <c r="S27" s="194">
        <v>4999</v>
      </c>
      <c r="T27" s="197" t="str">
        <f>T14</f>
        <v>Yes</v>
      </c>
      <c r="U27" s="198" t="s">
        <v>701</v>
      </c>
      <c r="V27" t="str">
        <f>IF(OR(AND(Input!$B$47="Purchase",T27="No",Input!$B$49="yes",Q27="yes",P27="Yes"),AND(Input!$B$47="Remortgage",T27="Yes",Input!$B$49="yes",Q27="yes",P27="Yes")),"OK","")</f>
        <v/>
      </c>
      <c r="W27" t="str">
        <f>IF(OR(AND(Input!$B$47="Purchase",T27="No",Input!$B$49="No",Q27="",P27="Yes"),AND(Input!$B$47="Remortgage",T27="Yes",Input!$B$49="No",Q27="",P27="Yes")),"OK","")</f>
        <v/>
      </c>
      <c r="X27" t="str">
        <f t="shared" si="14"/>
        <v/>
      </c>
      <c r="Y27" t="str">
        <f>IF(AA27="", "", MAX(Y$4:$Y26)+1)</f>
        <v/>
      </c>
      <c r="AA27" s="8" t="str">
        <f t="shared" si="10"/>
        <v/>
      </c>
      <c r="AB27" s="82" t="str">
        <f t="shared" si="11"/>
        <v/>
      </c>
      <c r="AC27" s="86" t="str">
        <f t="shared" si="12"/>
        <v/>
      </c>
      <c r="AD27" s="91">
        <f>IF(Input!$B$47="Purchase", R27, S27)</f>
        <v>4999</v>
      </c>
      <c r="AE27" t="str">
        <f t="shared" si="15"/>
        <v/>
      </c>
      <c r="AF27" t="str">
        <f>IF(AG27="", "", MAX(AF$4:$AF26)+1)</f>
        <v/>
      </c>
      <c r="AG27" s="8" t="str">
        <f>IF(AND(AND(Amount_Requested&gt;=J27, Amount_Requested&lt;=K27,  Amount_Requested&lt;=MAX(Calculations!G32:H32), OR(Amount_Requested&lt;=MIN(Calculations!B32,Refer_Min), Amount_Requested&gt;=MIN(Calculations!D32,Refer_Min)), Calculations!$A$57="AIP")),AA27, "")</f>
        <v/>
      </c>
      <c r="AH27" s="83" t="str">
        <f t="shared" si="25"/>
        <v/>
      </c>
      <c r="AI27" s="87" t="str">
        <f t="shared" si="26"/>
        <v/>
      </c>
      <c r="AJ27" s="91" t="str">
        <f t="shared" si="27"/>
        <v/>
      </c>
      <c r="AK27" t="str">
        <f t="shared" si="19"/>
        <v/>
      </c>
      <c r="AM27" s="116" t="str">
        <f t="shared" si="1"/>
        <v/>
      </c>
      <c r="AN27" s="117" t="str">
        <f t="shared" si="2"/>
        <v/>
      </c>
      <c r="AO27" s="118" t="str">
        <f t="shared" si="3"/>
        <v/>
      </c>
      <c r="AP27" s="119" t="str">
        <f t="shared" si="4"/>
        <v/>
      </c>
      <c r="AQ27" s="120" t="str">
        <f t="shared" si="20"/>
        <v/>
      </c>
      <c r="AR27" s="121"/>
      <c r="AT27" s="8" t="str">
        <f t="shared" si="6"/>
        <v/>
      </c>
      <c r="AU27" s="83" t="str">
        <f t="shared" si="7"/>
        <v/>
      </c>
      <c r="AV27" s="87" t="str">
        <f t="shared" si="8"/>
        <v/>
      </c>
      <c r="AW27" s="91" t="str">
        <f t="shared" si="9"/>
        <v/>
      </c>
    </row>
    <row r="28" spans="1:49" x14ac:dyDescent="0.25">
      <c r="A28" s="8" t="s">
        <v>81</v>
      </c>
      <c r="B28" s="66">
        <v>200000</v>
      </c>
      <c r="F28" s="190" t="str">
        <f t="shared" ref="F28:F29" si="38">F22</f>
        <v>BTL 5 Year Fixed (CUF13): Min Loan £200k</v>
      </c>
      <c r="G28" s="199">
        <f t="shared" si="31"/>
        <v>6.2899999999999998E-2</v>
      </c>
      <c r="H28" s="200">
        <f t="shared" si="31"/>
        <v>7.0999999999999994E-2</v>
      </c>
      <c r="I28" s="193">
        <v>0.65</v>
      </c>
      <c r="J28" s="194">
        <v>200000</v>
      </c>
      <c r="K28" s="194">
        <v>5000000</v>
      </c>
      <c r="L28" s="191">
        <f t="shared" si="0"/>
        <v>-1.1999999999999997E-2</v>
      </c>
      <c r="M28" s="191"/>
      <c r="N28" s="195">
        <v>30</v>
      </c>
      <c r="O28" s="195"/>
      <c r="P28" s="196" t="s">
        <v>52</v>
      </c>
      <c r="Q28" s="194" t="s">
        <v>52</v>
      </c>
      <c r="R28" s="194">
        <v>4999</v>
      </c>
      <c r="S28" s="194">
        <v>4999</v>
      </c>
      <c r="T28" s="197" t="s">
        <v>52</v>
      </c>
      <c r="U28" s="198" t="s">
        <v>701</v>
      </c>
      <c r="V28" t="str">
        <f>IF(OR(AND(Input!$B$47="Purchase",T28="No",Input!$B$49="yes",Q28="yes",P28="Yes"),AND(Input!$B$47="Remortgage",T28="Yes",Input!$B$49="yes",Q28="yes",P28="Yes")),"OK","")</f>
        <v/>
      </c>
      <c r="W28" t="str">
        <f>IF(OR(AND(Input!$B$47="Purchase",T28="No",Input!$B$49="No",Q28="",P28="Yes"),AND(Input!$B$47="Remortgage",T28="Yes",Input!$B$49="No",Q28="",P28="Yes")),"OK","")</f>
        <v/>
      </c>
      <c r="X28" t="str">
        <f t="shared" si="14"/>
        <v/>
      </c>
      <c r="Y28" t="str">
        <f>IF(AA28="", "", MAX(Y$4:$Y27)+1)</f>
        <v/>
      </c>
      <c r="AA28" s="8" t="str">
        <f t="shared" si="10"/>
        <v/>
      </c>
      <c r="AB28" s="82" t="str">
        <f t="shared" si="11"/>
        <v/>
      </c>
      <c r="AC28" s="86" t="str">
        <f t="shared" si="12"/>
        <v/>
      </c>
      <c r="AD28" s="91">
        <f>IF(Input!$B$47="Purchase", R28, S28)</f>
        <v>4999</v>
      </c>
      <c r="AE28" t="str">
        <f t="shared" si="15"/>
        <v/>
      </c>
      <c r="AF28" t="str">
        <f>IF(AG28="", "", MAX(AF$4:$AF27)+1)</f>
        <v/>
      </c>
      <c r="AG28" s="8" t="str">
        <f>IF(AND(AND(Amount_Requested&gt;=J28, Amount_Requested&lt;=K28,  Amount_Requested&lt;=MAX(Calculations!G33:H33), OR(Amount_Requested&lt;=MIN(Calculations!B33,Refer_Min), Amount_Requested&gt;=MIN(Calculations!D33,Refer_Min)), Calculations!$A$57="AIP")),AA28, "")</f>
        <v/>
      </c>
      <c r="AH28" s="83" t="str">
        <f t="shared" si="25"/>
        <v/>
      </c>
      <c r="AI28" s="87" t="str">
        <f t="shared" si="26"/>
        <v/>
      </c>
      <c r="AJ28" s="91" t="str">
        <f t="shared" si="27"/>
        <v/>
      </c>
      <c r="AK28" t="str">
        <f t="shared" si="19"/>
        <v/>
      </c>
      <c r="AM28" s="116" t="str">
        <f t="shared" si="1"/>
        <v/>
      </c>
      <c r="AN28" s="117" t="str">
        <f t="shared" si="2"/>
        <v/>
      </c>
      <c r="AO28" s="118" t="str">
        <f t="shared" si="3"/>
        <v/>
      </c>
      <c r="AP28" s="119" t="str">
        <f t="shared" si="4"/>
        <v/>
      </c>
      <c r="AQ28" s="120" t="str">
        <f t="shared" si="20"/>
        <v/>
      </c>
      <c r="AR28" s="121"/>
      <c r="AT28" s="8" t="str">
        <f t="shared" si="6"/>
        <v/>
      </c>
      <c r="AU28" s="83" t="str">
        <f t="shared" si="7"/>
        <v/>
      </c>
      <c r="AV28" s="87" t="str">
        <f t="shared" si="8"/>
        <v/>
      </c>
      <c r="AW28" s="91" t="str">
        <f t="shared" si="9"/>
        <v/>
      </c>
    </row>
    <row r="29" spans="1:49" x14ac:dyDescent="0.25">
      <c r="A29" s="8" t="s">
        <v>178</v>
      </c>
      <c r="B29" s="40">
        <v>1.1000000000000001</v>
      </c>
      <c r="E29" s="219"/>
      <c r="F29" s="190" t="str">
        <f t="shared" si="38"/>
        <v>BTL 3 Year Fixed (CUF10): Min Loan £400k</v>
      </c>
      <c r="G29" s="199">
        <f t="shared" si="31"/>
        <v>6.4899999999999999E-2</v>
      </c>
      <c r="H29" s="200">
        <f t="shared" si="31"/>
        <v>7.0999999999999994E-2</v>
      </c>
      <c r="I29" s="193">
        <v>0.65</v>
      </c>
      <c r="J29" s="194">
        <f>J23</f>
        <v>400000</v>
      </c>
      <c r="K29" s="194">
        <f t="shared" si="36"/>
        <v>5000000</v>
      </c>
      <c r="L29" s="191">
        <f t="shared" si="0"/>
        <v>5.0000000000000044E-3</v>
      </c>
      <c r="M29" s="191"/>
      <c r="N29" s="195">
        <v>30</v>
      </c>
      <c r="O29" s="195"/>
      <c r="P29" s="196" t="s">
        <v>52</v>
      </c>
      <c r="Q29" s="194" t="s">
        <v>52</v>
      </c>
      <c r="R29" s="194">
        <v>4999</v>
      </c>
      <c r="S29" s="194">
        <v>4999</v>
      </c>
      <c r="T29" s="196" t="s">
        <v>52</v>
      </c>
      <c r="U29" s="198" t="s">
        <v>700</v>
      </c>
      <c r="V29" t="str">
        <f>IF(OR(AND(Input!$B$47="Purchase",T29="No",Input!$B$49="yes",Q29="yes",P29="Yes"),AND(Input!$B$47="Remortgage",T29="Yes",Input!$B$49="yes",Q29="yes",P29="Yes")),"OK","")</f>
        <v/>
      </c>
      <c r="W29" t="str">
        <f>IF(OR(AND(Input!$B$47="Purchase",T29="No",Input!$B$49="No",Q29="",P29="Yes"),AND(Input!$B$47="Remortgage",T29="Yes",Input!$B$49="No",Q29="",P29="Yes")),"OK","")</f>
        <v/>
      </c>
      <c r="X29" t="str">
        <f t="shared" si="14"/>
        <v/>
      </c>
      <c r="Y29" t="str">
        <f>IF(AA29="", "", MAX(Y$4:$Y28)+1)</f>
        <v/>
      </c>
      <c r="AA29" s="8" t="str">
        <f t="shared" si="10"/>
        <v/>
      </c>
      <c r="AB29" s="82" t="str">
        <f t="shared" si="11"/>
        <v/>
      </c>
      <c r="AC29" s="86" t="str">
        <f t="shared" si="12"/>
        <v/>
      </c>
      <c r="AD29" s="91">
        <f>IF(Input!$B$47="Purchase", R29, S29)</f>
        <v>4999</v>
      </c>
      <c r="AE29" t="str">
        <f t="shared" si="15"/>
        <v/>
      </c>
      <c r="AF29" t="str">
        <f>IF(AG29="", "", MAX(AF$4:$AF28)+1)</f>
        <v/>
      </c>
      <c r="AG29" s="8" t="str">
        <f>IF(AND(AND(Amount_Requested&gt;=J29, Amount_Requested&lt;=K29,  Amount_Requested&lt;=MAX(Calculations!G34:H34), OR(Amount_Requested&lt;=MIN(Calculations!B34,Refer_Min), Amount_Requested&gt;=MIN(Calculations!D34,Refer_Min)), Calculations!$A$57="AIP")),AA29, "")</f>
        <v/>
      </c>
      <c r="AH29" s="83" t="str">
        <f t="shared" si="25"/>
        <v/>
      </c>
      <c r="AI29" s="87" t="str">
        <f t="shared" si="26"/>
        <v/>
      </c>
      <c r="AJ29" s="91" t="str">
        <f t="shared" si="27"/>
        <v/>
      </c>
      <c r="AK29" t="str">
        <f t="shared" si="19"/>
        <v/>
      </c>
      <c r="AM29" s="116" t="str">
        <f t="shared" si="1"/>
        <v/>
      </c>
      <c r="AN29" s="117" t="str">
        <f t="shared" si="2"/>
        <v/>
      </c>
      <c r="AO29" s="118" t="str">
        <f t="shared" si="3"/>
        <v/>
      </c>
      <c r="AP29" s="119" t="str">
        <f t="shared" si="4"/>
        <v/>
      </c>
      <c r="AQ29" s="120" t="str">
        <f t="shared" si="20"/>
        <v/>
      </c>
      <c r="AR29" s="121"/>
      <c r="AT29" s="8" t="str">
        <f t="shared" si="6"/>
        <v/>
      </c>
      <c r="AU29" s="83" t="str">
        <f t="shared" si="7"/>
        <v/>
      </c>
      <c r="AV29" s="87" t="str">
        <f t="shared" si="8"/>
        <v/>
      </c>
      <c r="AW29" s="91" t="str">
        <f t="shared" si="9"/>
        <v/>
      </c>
    </row>
    <row r="30" spans="1:49" x14ac:dyDescent="0.25">
      <c r="F30" s="25"/>
      <c r="G30" s="69"/>
      <c r="H30" s="85"/>
      <c r="I30" s="42"/>
      <c r="J30" s="42"/>
      <c r="K30" s="26"/>
      <c r="L30" s="69"/>
      <c r="M30" s="69"/>
      <c r="N30" s="61"/>
      <c r="O30" s="61"/>
      <c r="P30" s="70"/>
      <c r="Q30" s="70"/>
      <c r="R30" s="70"/>
      <c r="S30" s="26"/>
      <c r="T30" s="185"/>
      <c r="U30" s="131"/>
      <c r="V30" t="str">
        <f>IF(OR(AND(Input!$B$47="Purchase",T30="No",Input!$B$49="yes",Q30="yes"),AND(Input!$B$47="Remortgage",T30="Yes",Input!$B$49="yes",Q30="yes")),"OK","")</f>
        <v/>
      </c>
      <c r="W30" t="str">
        <f>IF(OR(AND(Input!$B$47="Purchase",T30="No",Input!$B$49="No",Q30="",P30="Yes"),AND(Input!$B$47="Remortgage",T30="Yes",Input!$B$49="No",Q30="",P30="Yes")),"OK","")</f>
        <v/>
      </c>
      <c r="X30" t="str">
        <f t="shared" si="14"/>
        <v/>
      </c>
      <c r="Y30" t="str">
        <f>IF(AA30="", "", MAX(Y$4:$Y29)+1)</f>
        <v/>
      </c>
      <c r="AA30" s="8" t="str">
        <f t="shared" si="10"/>
        <v/>
      </c>
      <c r="AB30" s="82" t="str">
        <f t="shared" si="11"/>
        <v/>
      </c>
      <c r="AC30" s="86" t="str">
        <f t="shared" si="12"/>
        <v/>
      </c>
      <c r="AD30" s="91">
        <f>IF(Input!$B$47="Purchase", R30, S30)</f>
        <v>0</v>
      </c>
      <c r="AE30" t="str">
        <f t="shared" si="15"/>
        <v/>
      </c>
      <c r="AF30" t="str">
        <f>IF(AG30="", "", MAX(AF$4:$AF29)+1)</f>
        <v/>
      </c>
      <c r="AG30" s="8" t="str">
        <f>IF(AND(AND(Amount_Requested&gt;=J30, Amount_Requested&lt;=K30,  Amount_Requested&lt;=MAX(Calculations!G35:H35), OR(Amount_Requested&lt;=MIN(Calculations!B35,Refer_Min), Amount_Requested&gt;=MIN(Calculations!D35,Refer_Min)), Calculations!$A$57="AIP")),AA30, "")</f>
        <v/>
      </c>
      <c r="AH30" s="83" t="str">
        <f t="shared" si="25"/>
        <v/>
      </c>
      <c r="AI30" s="87" t="str">
        <f t="shared" si="26"/>
        <v/>
      </c>
      <c r="AJ30" s="91" t="str">
        <f t="shared" si="27"/>
        <v/>
      </c>
      <c r="AK30" t="str">
        <f t="shared" si="19"/>
        <v/>
      </c>
      <c r="AM30" s="116" t="str">
        <f t="shared" si="1"/>
        <v/>
      </c>
      <c r="AN30" s="117" t="str">
        <f t="shared" si="2"/>
        <v/>
      </c>
      <c r="AO30" s="118" t="str">
        <f t="shared" si="3"/>
        <v/>
      </c>
      <c r="AP30" s="119" t="str">
        <f t="shared" si="4"/>
        <v/>
      </c>
      <c r="AQ30" s="120" t="str">
        <f t="shared" si="20"/>
        <v/>
      </c>
      <c r="AR30" s="121"/>
      <c r="AT30" s="8" t="str">
        <f t="shared" si="6"/>
        <v/>
      </c>
      <c r="AU30" s="83" t="str">
        <f t="shared" si="7"/>
        <v/>
      </c>
      <c r="AV30" s="87" t="str">
        <f t="shared" si="8"/>
        <v/>
      </c>
      <c r="AW30" s="91" t="str">
        <f t="shared" si="9"/>
        <v/>
      </c>
    </row>
    <row r="31" spans="1:49" x14ac:dyDescent="0.25">
      <c r="F31" s="103"/>
      <c r="G31" s="104"/>
      <c r="H31" s="105"/>
      <c r="I31" s="106"/>
      <c r="J31" s="106"/>
      <c r="K31" s="80"/>
      <c r="L31" s="104"/>
      <c r="M31" s="104"/>
      <c r="N31" s="103"/>
      <c r="O31" s="103"/>
      <c r="P31" s="107"/>
      <c r="Q31" s="107"/>
      <c r="R31" s="107"/>
      <c r="S31" s="80"/>
      <c r="T31" s="132"/>
      <c r="U31" s="132"/>
      <c r="W31" t="str">
        <f>IF(OR(AND(Input!$B$47="Purchase",S31="No",Input!$B$49="No"), AND(Input!$B$47="Remortgage",S31="Yes",Input!$B$49="No")),"OK","")</f>
        <v/>
      </c>
      <c r="X31" t="str">
        <f>IF(OR(AND(Input!$B$47="Purchase",T31="No",Input!$B$49="No"), AND(Input!$B$47="Remortgage",T31="Yes",Input!$B$49="No")),"OK","")</f>
        <v/>
      </c>
      <c r="Y31" t="str">
        <f>IF(AA31="", "", MAX(Y$4:$Y30)+1)</f>
        <v/>
      </c>
      <c r="AA31" s="8" t="str">
        <f>IF(P31="Yes", IF(X31="OK",F31,""), "")</f>
        <v/>
      </c>
      <c r="AB31" s="147" t="str">
        <f t="shared" si="11"/>
        <v/>
      </c>
      <c r="AC31" s="148" t="str">
        <f t="shared" si="12"/>
        <v/>
      </c>
      <c r="AD31" s="91">
        <f>IF(Input!$B$47="Purchase", R31, S31)</f>
        <v>0</v>
      </c>
      <c r="AF31" t="str">
        <f>IF(AG31="", "", MAX(AF$4:$AF30)+1)</f>
        <v/>
      </c>
      <c r="AG31" s="8" t="str">
        <f>IF(AND(AND(Amount_Requested&gt;=J31, Amount_Requested&lt;=K31,  Amount_Requested&lt;=MAX(Calculations!G36:H36), OR(Amount_Requested&lt;=MIN(Calculations!B36,Refer_Min), Amount_Requested&gt;=MIN(Calculations!D36,Refer_Min)), Calculations!$A$57="AIP")),AA31, "")</f>
        <v/>
      </c>
      <c r="AH31" s="83" t="str">
        <f t="shared" si="25"/>
        <v/>
      </c>
      <c r="AI31" s="87" t="str">
        <f t="shared" si="26"/>
        <v/>
      </c>
      <c r="AJ31" s="91" t="str">
        <f t="shared" si="27"/>
        <v/>
      </c>
      <c r="AM31" s="116"/>
      <c r="AN31" s="117"/>
      <c r="AO31" s="118"/>
      <c r="AP31" s="119"/>
      <c r="AQ31" s="120" t="str">
        <f t="shared" si="20"/>
        <v/>
      </c>
      <c r="AR31" s="121"/>
      <c r="AT31" s="8"/>
      <c r="AW31" s="91"/>
    </row>
    <row r="32" spans="1:49" x14ac:dyDescent="0.25">
      <c r="F32" t="s">
        <v>54</v>
      </c>
      <c r="G32" s="104" t="str">
        <f>TRIM(CONCATENATE(AM4," ",AN4," ",AO4," £",AP4," "," £",AQ4," ",AR4, " ",AS4," ",AM5," ",AN5," ",AO5," £",AP5," "," £",AQ5," ",AR5," ",AS5," ",AM6," ",AN6," ",AO6," £",AP6," "," £",AQ6," ",AR6," ",AS6," ",AM7," ",AN7," ",AO7," £",AP7," "," £",AQ7," ",AR7," ",AS7," ",AM8," ",AN8," ",AO8," £",AP8," "," £",AQ8," ",AR8," ",AS8," ",AM9," ",AN9," ",AO9," £",AP9," "," £",AQ9," ",AR9," ",AS9," "))</f>
        <v>£ £ £ £ £ £ £ £ £ £ £ £</v>
      </c>
      <c r="H32" s="105"/>
      <c r="I32" s="106"/>
      <c r="J32" s="106"/>
      <c r="K32" s="80"/>
      <c r="L32" s="104"/>
      <c r="M32" s="104"/>
      <c r="N32" s="103"/>
      <c r="O32" s="103"/>
      <c r="P32" s="107"/>
      <c r="Q32" s="107"/>
      <c r="R32" s="107"/>
      <c r="S32" s="80"/>
      <c r="T32" s="132"/>
      <c r="U32" s="132"/>
      <c r="W32" t="str">
        <f>IF(OR(AND(Input!$B$47="Purchase",S32="No",Input!$B$49="No"), AND(Input!$B$47="Remortgage",S32="Yes",Input!$B$49="No")),"OK","")</f>
        <v/>
      </c>
      <c r="X32" t="str">
        <f>IF(OR(AND(Input!$B$47="Purchase",T32="No",Input!$B$49="No"), AND(Input!$B$47="Remortgage",T32="Yes",Input!$B$49="No")),"OK","")</f>
        <v/>
      </c>
      <c r="Y32" t="str">
        <f>IF(AA32="", "", MAX(Y$4:$Y31)+1)</f>
        <v/>
      </c>
      <c r="AA32" s="8" t="str">
        <f>IF(P32="Yes", IF(X32="OK",F32,""), "")</f>
        <v/>
      </c>
      <c r="AB32" s="147" t="str">
        <f t="shared" si="11"/>
        <v/>
      </c>
      <c r="AC32" s="148" t="str">
        <f t="shared" si="12"/>
        <v/>
      </c>
      <c r="AD32" s="91">
        <f>IF(Input!$B$47="Purchase", R32, S32)</f>
        <v>0</v>
      </c>
      <c r="AF32" t="str">
        <f>IF(AG32="", "", MAX(AF$4:$AF31)+1)</f>
        <v/>
      </c>
      <c r="AG32" s="8" t="str">
        <f>IF(AND(AND(Amount_Requested&gt;=J32, Amount_Requested&lt;=K32,  Amount_Requested&lt;=MAX(Calculations!G37:H37), OR(Amount_Requested&lt;=MIN(Calculations!B37,Refer_Min), Amount_Requested&gt;=MIN(Calculations!D37,Refer_Min)), Calculations!$A$57="AIP")),AA32, "")</f>
        <v/>
      </c>
      <c r="AH32" s="83" t="str">
        <f t="shared" si="25"/>
        <v/>
      </c>
      <c r="AI32" s="87" t="str">
        <f t="shared" si="26"/>
        <v/>
      </c>
      <c r="AJ32" s="91" t="str">
        <f t="shared" si="27"/>
        <v/>
      </c>
      <c r="AM32" s="116"/>
      <c r="AN32" s="117"/>
      <c r="AO32" s="118"/>
      <c r="AP32" s="119"/>
      <c r="AQ32" s="120" t="str">
        <f t="shared" si="20"/>
        <v/>
      </c>
      <c r="AR32" s="121"/>
      <c r="AT32" s="8"/>
      <c r="AW32" s="91"/>
    </row>
    <row r="33" spans="1:49" x14ac:dyDescent="0.25">
      <c r="W33" t="str">
        <f>IF(OR(AND(Input!$B$47="Purchase",S33="No",Input!$B$49="No"), AND(Input!$B$47="Remortgage",S33="Yes",Input!$B$49="No")),"OK","")</f>
        <v/>
      </c>
      <c r="X33" t="str">
        <f>IF(OR(AND(Input!$B$47="Purchase",T33="No",Input!$B$49="No"), AND(Input!$B$47="Remortgage",T33="Yes",Input!$B$49="No")),"OK","")</f>
        <v/>
      </c>
      <c r="Y33" t="str">
        <f>IF(AA33="", "", MAX(Y$4:$Y32)+1)</f>
        <v/>
      </c>
      <c r="AA33" s="8" t="str">
        <f>IF(P33="Yes", IF(X33="OK",F33,""), "")</f>
        <v/>
      </c>
      <c r="AB33" s="82" t="str">
        <f t="shared" si="11"/>
        <v/>
      </c>
      <c r="AC33" s="86" t="str">
        <f t="shared" si="12"/>
        <v/>
      </c>
      <c r="AD33" s="91">
        <f>IF(Input!$B$47="Purchase", R33, S33)</f>
        <v>0</v>
      </c>
      <c r="AE33" t="str">
        <f t="shared" si="15"/>
        <v/>
      </c>
      <c r="AF33" t="str">
        <f>IF(AG33="", "", MAX(AF$4:$AF32)+1)</f>
        <v/>
      </c>
      <c r="AG33" s="8" t="str">
        <f>IF(AND(AND(Amount_Requested&gt;=J33, Amount_Requested&lt;=K33,  Amount_Requested&lt;=MAX(Calculations!G38:H38), OR(Amount_Requested&lt;=MIN(Calculations!B38,Refer_Min), Amount_Requested&gt;=MIN(Calculations!D38,Refer_Min)), Calculations!$A$57="AIP")),AA33, "")</f>
        <v/>
      </c>
      <c r="AH33" s="83" t="str">
        <f t="shared" si="25"/>
        <v/>
      </c>
      <c r="AI33" s="87" t="str">
        <f t="shared" si="26"/>
        <v/>
      </c>
      <c r="AJ33" s="91" t="str">
        <f t="shared" si="27"/>
        <v/>
      </c>
      <c r="AK33" t="str">
        <f t="shared" si="19"/>
        <v/>
      </c>
      <c r="AM33" s="116" t="str">
        <f t="shared" ref="AM33:AP35" si="39">IFERROR(INDEX(AG$4:AG$35,MATCH(ROW()-ROW(AM$3),$AF$4:$AF$35,0)),"")</f>
        <v/>
      </c>
      <c r="AN33" s="117" t="str">
        <f t="shared" si="39"/>
        <v/>
      </c>
      <c r="AO33" s="118" t="str">
        <f t="shared" si="39"/>
        <v/>
      </c>
      <c r="AP33" s="119" t="str">
        <f t="shared" si="39"/>
        <v/>
      </c>
      <c r="AQ33" s="120" t="str">
        <f t="shared" si="20"/>
        <v/>
      </c>
      <c r="AR33" s="121"/>
      <c r="AT33" s="8" t="str">
        <f t="shared" ref="AT33:AW35" si="40">IFERROR(INDEX(AA$4:AA$30,MATCH(ROW()-ROW(AT$3),$Y$4:$Y$30,0)),"")</f>
        <v/>
      </c>
      <c r="AU33" s="83" t="str">
        <f t="shared" si="40"/>
        <v/>
      </c>
      <c r="AV33" s="87" t="str">
        <f t="shared" si="40"/>
        <v/>
      </c>
      <c r="AW33" s="91" t="str">
        <f t="shared" si="40"/>
        <v/>
      </c>
    </row>
    <row r="34" spans="1:49" x14ac:dyDescent="0.25">
      <c r="A34" s="65" t="s">
        <v>73</v>
      </c>
      <c r="B34" s="15" t="s">
        <v>19</v>
      </c>
      <c r="C34" s="15" t="s">
        <v>74</v>
      </c>
      <c r="D34" s="15" t="s">
        <v>88</v>
      </c>
      <c r="E34" s="22" t="s">
        <v>19</v>
      </c>
      <c r="W34" t="str">
        <f>IF(OR(AND(Input!$B$47="Purchase",S34="No",Input!$B$49="No"), AND(Input!$B$47="Remortgage",S34="Yes",Input!$B$49="No")),"OK","")</f>
        <v/>
      </c>
      <c r="X34" t="str">
        <f>IF(OR(AND(Input!$B$47="Purchase",T34="No",Input!$B$49="No"), AND(Input!$B$47="Remortgage",T34="Yes",Input!$B$49="No")),"OK","")</f>
        <v/>
      </c>
      <c r="Y34" t="str">
        <f>IF(AA34="", "", MAX(Y$4:$Y33)+1)</f>
        <v/>
      </c>
      <c r="AA34" s="8" t="str">
        <f>IF(P34="Yes", IF(X34="OK",F34,""), "")</f>
        <v/>
      </c>
      <c r="AB34" s="82" t="str">
        <f t="shared" si="11"/>
        <v/>
      </c>
      <c r="AC34" s="86" t="str">
        <f t="shared" si="12"/>
        <v/>
      </c>
      <c r="AD34" s="91">
        <f>IF(Input!$B$47="Purchase", R34, S34)</f>
        <v>0</v>
      </c>
      <c r="AE34" t="str">
        <f t="shared" si="15"/>
        <v/>
      </c>
      <c r="AF34" t="str">
        <f>IF(AG34="", "", MAX(AF$4:$AF33)+1)</f>
        <v/>
      </c>
      <c r="AG34" s="8" t="str">
        <f>IF(AND(AND(Amount_Requested&gt;=J34, Amount_Requested&lt;=K34,  Amount_Requested&lt;=MAX(Calculations!G39:H39), OR(Amount_Requested&lt;=MIN(Calculations!B39,Refer_Min), Amount_Requested&gt;=MIN(Calculations!D39,Refer_Min)), Calculations!$A$57="AIP")),AA34, "")</f>
        <v/>
      </c>
      <c r="AH34" s="83" t="str">
        <f t="shared" si="25"/>
        <v/>
      </c>
      <c r="AI34" s="87" t="str">
        <f t="shared" si="26"/>
        <v/>
      </c>
      <c r="AJ34" s="91" t="str">
        <f t="shared" si="27"/>
        <v/>
      </c>
      <c r="AK34" t="str">
        <f t="shared" si="19"/>
        <v/>
      </c>
      <c r="AM34" s="116" t="str">
        <f t="shared" si="39"/>
        <v/>
      </c>
      <c r="AN34" s="117" t="str">
        <f t="shared" si="39"/>
        <v/>
      </c>
      <c r="AO34" s="118" t="str">
        <f t="shared" si="39"/>
        <v/>
      </c>
      <c r="AP34" s="119" t="str">
        <f t="shared" si="39"/>
        <v/>
      </c>
      <c r="AQ34" s="120" t="str">
        <f t="shared" si="20"/>
        <v/>
      </c>
      <c r="AR34" s="121"/>
      <c r="AT34" s="8" t="str">
        <f t="shared" si="40"/>
        <v/>
      </c>
      <c r="AU34" s="83" t="str">
        <f t="shared" si="40"/>
        <v/>
      </c>
      <c r="AV34" s="87" t="str">
        <f t="shared" si="40"/>
        <v/>
      </c>
      <c r="AW34" s="91" t="str">
        <f t="shared" si="40"/>
        <v/>
      </c>
    </row>
    <row r="35" spans="1:49" x14ac:dyDescent="0.25">
      <c r="A35" s="112"/>
      <c r="B35" s="40"/>
      <c r="C35" s="63">
        <v>0</v>
      </c>
      <c r="D35" s="3">
        <v>0</v>
      </c>
      <c r="E35" s="40">
        <v>0.75</v>
      </c>
      <c r="F35" s="133">
        <f>C36-1</f>
        <v>1250000</v>
      </c>
      <c r="W35" t="str">
        <f>IF(OR(AND(Input!$B$47="Purchase",S35="No",Input!$B$49="No"), AND(Input!$B$47="Remortgage",S35="Yes",Input!$B$49="No")),"OK","")</f>
        <v/>
      </c>
      <c r="X35" t="str">
        <f>IF(OR(AND(Input!$B$47="Purchase",T35="No",Input!$B$49="No"), AND(Input!$B$47="Remortgage",T35="Yes",Input!$B$49="No")),"OK","")</f>
        <v/>
      </c>
      <c r="Y35" t="str">
        <f>IF(AA35="", "", MAX(Y$4:$Y34)+1)</f>
        <v/>
      </c>
      <c r="AA35" s="10" t="str">
        <f>IF(P35="Yes", IF(X35="OK",F35,""), "")</f>
        <v/>
      </c>
      <c r="AB35" s="149" t="str">
        <f t="shared" si="11"/>
        <v/>
      </c>
      <c r="AC35" s="150" t="str">
        <f t="shared" si="12"/>
        <v/>
      </c>
      <c r="AD35" s="91">
        <f>IF(Input!$B$47="Purchase", R35, S35)</f>
        <v>0</v>
      </c>
      <c r="AE35" t="str">
        <f t="shared" si="15"/>
        <v/>
      </c>
      <c r="AF35" t="str">
        <f>IF(AG35="", "", MAX(AF$4:$AF34)+1)</f>
        <v/>
      </c>
      <c r="AG35" s="10" t="str">
        <f>IF(AND(AND(Amount_Requested&gt;=J35, Amount_Requested&lt;=K35,  Amount_Requested&lt;=MAX(Calculations!G40:H40), OR(Amount_Requested&lt;=MIN(Calculations!B40,Refer_Min), Amount_Requested&gt;=MIN(Calculations!D40,Refer_Min)), Calculations!$A$57="AIP")),AA35, "")</f>
        <v/>
      </c>
      <c r="AH35" s="101" t="str">
        <f t="shared" si="25"/>
        <v/>
      </c>
      <c r="AI35" s="102" t="str">
        <f t="shared" si="26"/>
        <v/>
      </c>
      <c r="AJ35" s="23" t="str">
        <f t="shared" si="27"/>
        <v/>
      </c>
      <c r="AK35" t="str">
        <f t="shared" si="19"/>
        <v/>
      </c>
      <c r="AM35" s="122" t="str">
        <f t="shared" si="39"/>
        <v/>
      </c>
      <c r="AN35" s="123" t="str">
        <f t="shared" si="39"/>
        <v/>
      </c>
      <c r="AO35" s="124" t="str">
        <f t="shared" si="39"/>
        <v/>
      </c>
      <c r="AP35" s="125" t="str">
        <f t="shared" si="39"/>
        <v/>
      </c>
      <c r="AQ35" s="120" t="str">
        <f t="shared" si="20"/>
        <v/>
      </c>
      <c r="AR35" s="121"/>
      <c r="AT35" s="10" t="str">
        <f t="shared" si="40"/>
        <v/>
      </c>
      <c r="AU35" s="101" t="str">
        <f t="shared" si="40"/>
        <v/>
      </c>
      <c r="AV35" s="102" t="str">
        <f t="shared" si="40"/>
        <v/>
      </c>
      <c r="AW35" s="23" t="str">
        <f t="shared" si="40"/>
        <v/>
      </c>
    </row>
    <row r="36" spans="1:49" x14ac:dyDescent="0.25">
      <c r="A36" s="112"/>
      <c r="B36" s="40"/>
      <c r="C36" s="63">
        <v>1250001</v>
      </c>
      <c r="D36" s="3">
        <f>(C36-1)/E36</f>
        <v>1923076.923076923</v>
      </c>
      <c r="E36" s="40">
        <v>0.65</v>
      </c>
      <c r="F36" s="133">
        <f>C37-1</f>
        <v>1500000</v>
      </c>
    </row>
    <row r="37" spans="1:49" x14ac:dyDescent="0.25">
      <c r="A37" s="112"/>
      <c r="B37" s="40"/>
      <c r="C37" s="63">
        <v>1500001</v>
      </c>
      <c r="D37" s="3">
        <f>(C37-1)/E37</f>
        <v>2500000</v>
      </c>
      <c r="E37" s="40">
        <v>0.6</v>
      </c>
      <c r="F37" s="133">
        <f t="shared" ref="F37:F39" si="41">C38-1</f>
        <v>3000000</v>
      </c>
    </row>
    <row r="38" spans="1:49" x14ac:dyDescent="0.25">
      <c r="A38" s="112"/>
      <c r="B38" s="40"/>
      <c r="C38" s="63">
        <v>3000001</v>
      </c>
      <c r="D38" s="3">
        <f t="shared" ref="D38:D39" si="42">(C38-1)/E38</f>
        <v>5454545.4545454541</v>
      </c>
      <c r="E38" s="40">
        <v>0.55000000000000004</v>
      </c>
      <c r="F38" s="133">
        <f t="shared" si="41"/>
        <v>4000000</v>
      </c>
    </row>
    <row r="39" spans="1:49" x14ac:dyDescent="0.25">
      <c r="A39" s="63"/>
      <c r="B39" s="40"/>
      <c r="C39" s="63">
        <v>4000001</v>
      </c>
      <c r="D39" s="3">
        <f t="shared" si="42"/>
        <v>8000000</v>
      </c>
      <c r="E39" s="40">
        <v>0.5</v>
      </c>
      <c r="F39" s="133">
        <f t="shared" si="41"/>
        <v>4999999</v>
      </c>
    </row>
    <row r="40" spans="1:49" x14ac:dyDescent="0.25">
      <c r="A40" s="64"/>
      <c r="B40" s="41"/>
      <c r="C40" s="64">
        <v>5000000</v>
      </c>
      <c r="D40" s="3">
        <f>(C40)/E40</f>
        <v>10000000</v>
      </c>
      <c r="E40" s="41">
        <v>0.5</v>
      </c>
      <c r="F40" s="133"/>
    </row>
    <row r="42" spans="1:49" x14ac:dyDescent="0.25">
      <c r="B42" t="s">
        <v>69</v>
      </c>
      <c r="C42" t="s">
        <v>70</v>
      </c>
    </row>
    <row r="43" spans="1:49" x14ac:dyDescent="0.25">
      <c r="A43" s="5" t="s">
        <v>56</v>
      </c>
      <c r="B43" s="60">
        <v>85</v>
      </c>
      <c r="C43" s="60"/>
      <c r="D43" s="58">
        <f t="shared" ref="D43:D48" si="43">IF(Buy_to_Let="Yes", B43, C43)</f>
        <v>85</v>
      </c>
    </row>
    <row r="44" spans="1:49" x14ac:dyDescent="0.25">
      <c r="A44" s="8" t="s">
        <v>55</v>
      </c>
      <c r="B44" s="67">
        <v>85</v>
      </c>
      <c r="C44" s="67"/>
      <c r="D44" s="59">
        <f t="shared" si="43"/>
        <v>85</v>
      </c>
    </row>
    <row r="45" spans="1:49" x14ac:dyDescent="0.25">
      <c r="A45" s="8" t="s">
        <v>60</v>
      </c>
      <c r="B45" s="67">
        <v>85</v>
      </c>
      <c r="C45" s="67"/>
      <c r="D45" s="59">
        <f t="shared" si="43"/>
        <v>85</v>
      </c>
    </row>
    <row r="46" spans="1:49" x14ac:dyDescent="0.25">
      <c r="A46" s="8" t="s">
        <v>61</v>
      </c>
      <c r="B46" s="67">
        <v>85</v>
      </c>
      <c r="C46" s="67"/>
      <c r="D46" s="59">
        <f t="shared" si="43"/>
        <v>85</v>
      </c>
    </row>
    <row r="47" spans="1:49" x14ac:dyDescent="0.25">
      <c r="A47" s="8" t="s">
        <v>170</v>
      </c>
      <c r="B47" s="67">
        <v>69</v>
      </c>
      <c r="C47" s="67"/>
      <c r="D47" s="9">
        <f t="shared" si="43"/>
        <v>69</v>
      </c>
    </row>
    <row r="48" spans="1:49" x14ac:dyDescent="0.25">
      <c r="A48" s="10" t="s">
        <v>172</v>
      </c>
      <c r="B48" s="61">
        <v>18</v>
      </c>
      <c r="C48" s="61"/>
      <c r="D48" s="11">
        <f t="shared" si="43"/>
        <v>18</v>
      </c>
    </row>
    <row r="50" spans="1:6" x14ac:dyDescent="0.25">
      <c r="A50" s="172" t="s">
        <v>697</v>
      </c>
    </row>
    <row r="51" spans="1:6" x14ac:dyDescent="0.25">
      <c r="A51" s="65" t="s">
        <v>73</v>
      </c>
      <c r="B51" s="15" t="s">
        <v>19</v>
      </c>
      <c r="C51" s="15" t="s">
        <v>74</v>
      </c>
      <c r="D51" s="15" t="s">
        <v>88</v>
      </c>
      <c r="E51" s="22" t="s">
        <v>19</v>
      </c>
    </row>
    <row r="52" spans="1:6" x14ac:dyDescent="0.25">
      <c r="A52" s="112"/>
      <c r="B52" s="40"/>
      <c r="C52" s="63">
        <v>0</v>
      </c>
      <c r="D52" s="3">
        <v>0</v>
      </c>
      <c r="E52" s="40">
        <v>0.65</v>
      </c>
      <c r="F52" s="133">
        <f>C53-1</f>
        <v>1250000</v>
      </c>
    </row>
    <row r="53" spans="1:6" x14ac:dyDescent="0.25">
      <c r="A53" s="112"/>
      <c r="B53" s="40"/>
      <c r="C53" s="63">
        <v>1250001</v>
      </c>
      <c r="D53" s="3">
        <f>(C53-1)/E53</f>
        <v>1923076.923076923</v>
      </c>
      <c r="E53" s="40">
        <v>0.65</v>
      </c>
      <c r="F53" s="133">
        <f>C54-1</f>
        <v>1500000</v>
      </c>
    </row>
    <row r="54" spans="1:6" x14ac:dyDescent="0.25">
      <c r="A54" s="112"/>
      <c r="B54" s="40"/>
      <c r="C54" s="63">
        <v>1500001</v>
      </c>
      <c r="D54" s="3">
        <f>(C54-1)/E54</f>
        <v>2500000</v>
      </c>
      <c r="E54" s="40">
        <v>0.6</v>
      </c>
      <c r="F54" s="133">
        <f t="shared" ref="F54:F56" si="44">C55-1</f>
        <v>3000000</v>
      </c>
    </row>
    <row r="55" spans="1:6" x14ac:dyDescent="0.25">
      <c r="A55" s="112"/>
      <c r="B55" s="40"/>
      <c r="C55" s="63">
        <v>3000001</v>
      </c>
      <c r="D55" s="3">
        <f t="shared" ref="D55:D56" si="45">(C55-1)/E55</f>
        <v>5454545.4545454541</v>
      </c>
      <c r="E55" s="40">
        <v>0.55000000000000004</v>
      </c>
      <c r="F55" s="133">
        <f t="shared" si="44"/>
        <v>4000000</v>
      </c>
    </row>
    <row r="56" spans="1:6" x14ac:dyDescent="0.25">
      <c r="A56" s="63"/>
      <c r="B56" s="40"/>
      <c r="C56" s="63">
        <v>4000001</v>
      </c>
      <c r="D56" s="3">
        <f t="shared" si="45"/>
        <v>8000000</v>
      </c>
      <c r="E56" s="40">
        <v>0.5</v>
      </c>
      <c r="F56" s="133">
        <f t="shared" si="44"/>
        <v>4999999</v>
      </c>
    </row>
    <row r="57" spans="1:6" x14ac:dyDescent="0.25">
      <c r="A57" s="64"/>
      <c r="B57" s="41"/>
      <c r="C57" s="64">
        <v>5000000</v>
      </c>
      <c r="D57" s="3">
        <f>(C57)/E57</f>
        <v>10000000</v>
      </c>
      <c r="E57" s="41">
        <v>0.5</v>
      </c>
      <c r="F57" s="133"/>
    </row>
    <row r="60" spans="1:6" x14ac:dyDescent="0.25">
      <c r="A60" s="172" t="s">
        <v>698</v>
      </c>
    </row>
    <row r="61" spans="1:6" x14ac:dyDescent="0.25">
      <c r="A61" s="184">
        <v>7.9899999999999999E-2</v>
      </c>
    </row>
  </sheetData>
  <mergeCells count="3">
    <mergeCell ref="L2:M2"/>
    <mergeCell ref="N2:O2"/>
    <mergeCell ref="R2:S2"/>
  </mergeCells>
  <dataValidations count="1">
    <dataValidation type="list" allowBlank="1" showInputMessage="1" showErrorMessage="1" sqref="P30:R32 T16 T12 P4:P29 T25 T29" xr:uid="{00000000-0002-0000-0500-000000000000}">
      <formula1>Yes_No_Switch</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DE18-53E9-4B9C-B850-0E8CE6BF1046}">
  <sheetPr codeName="Sheet2"/>
  <dimension ref="A1:K16"/>
  <sheetViews>
    <sheetView workbookViewId="0">
      <selection activeCell="C14" sqref="C14"/>
    </sheetView>
  </sheetViews>
  <sheetFormatPr defaultColWidth="9.28515625" defaultRowHeight="15" x14ac:dyDescent="0.25"/>
  <cols>
    <col min="1" max="1" width="31.7109375" bestFit="1" customWidth="1"/>
    <col min="2" max="3" width="38.28515625" bestFit="1" customWidth="1"/>
    <col min="8" max="8" width="12.28515625" customWidth="1"/>
  </cols>
  <sheetData>
    <row r="1" spans="1:11" x14ac:dyDescent="0.25">
      <c r="A1" s="172" t="s">
        <v>687</v>
      </c>
      <c r="B1" s="171" t="s">
        <v>686</v>
      </c>
    </row>
    <row r="3" spans="1:11" x14ac:dyDescent="0.25">
      <c r="B3" s="166" t="s">
        <v>58</v>
      </c>
      <c r="C3" s="166" t="s">
        <v>59</v>
      </c>
      <c r="J3" s="241"/>
      <c r="K3" s="241"/>
    </row>
    <row r="4" spans="1:11" x14ac:dyDescent="0.25">
      <c r="A4" t="s">
        <v>691</v>
      </c>
      <c r="B4" s="170" t="str">
        <f>IF('AIP Indicator'!B22-'AIP Indicator'!B25&lt;1000000, "LESS THAN £1M", "£1M OR MORE")</f>
        <v>LESS THAN £1M</v>
      </c>
      <c r="C4" s="170" t="str">
        <f>IF('AIP Indicator'!B22-'AIP Indicator'!B25&lt;1000000, "LESS THAN £1M", "£1M OR MORE")</f>
        <v>LESS THAN £1M</v>
      </c>
    </row>
    <row r="5" spans="1:11" x14ac:dyDescent="0.25">
      <c r="A5" t="s">
        <v>685</v>
      </c>
      <c r="B5" s="173">
        <f>'AIP Indicator'!H11</f>
        <v>0</v>
      </c>
      <c r="C5" s="173" t="str">
        <f>IF('AIP Indicator'!B8="Yes", 'AIP Indicator'!H12, "")</f>
        <v/>
      </c>
      <c r="H5" s="4"/>
    </row>
    <row r="6" spans="1:11" x14ac:dyDescent="0.25">
      <c r="A6" t="s">
        <v>704</v>
      </c>
      <c r="B6" s="173">
        <f>'AIP Indicator'!I11</f>
        <v>0</v>
      </c>
      <c r="C6" s="173" t="str">
        <f>IF('AIP Indicator'!B8="Yes",'AIP Indicator'!I12, "")</f>
        <v/>
      </c>
      <c r="H6" s="4"/>
    </row>
    <row r="7" spans="1:11" x14ac:dyDescent="0.25">
      <c r="A7" t="s">
        <v>705</v>
      </c>
      <c r="B7" s="173">
        <f>'AIP Indicator'!J11</f>
        <v>0</v>
      </c>
      <c r="C7" s="173" t="str">
        <f>IF('AIP Indicator'!B8="Yes",'AIP Indicator'!J12, "")</f>
        <v/>
      </c>
      <c r="H7" s="4"/>
    </row>
    <row r="8" spans="1:11" x14ac:dyDescent="0.25">
      <c r="A8" s="169" t="s">
        <v>684</v>
      </c>
      <c r="B8" s="173">
        <f>'AIP Indicator'!K11</f>
        <v>0</v>
      </c>
      <c r="C8" s="173" t="str">
        <f>IF('AIP Indicator'!B8="Yes",'AIP Indicator'!K12, "")</f>
        <v/>
      </c>
      <c r="H8" s="4"/>
    </row>
    <row r="9" spans="1:11" x14ac:dyDescent="0.25">
      <c r="A9" t="s">
        <v>683</v>
      </c>
      <c r="B9" s="173">
        <f>'AIP Indicator'!L11</f>
        <v>0</v>
      </c>
      <c r="C9" s="173" t="str">
        <f>IF('AIP Indicator'!B8="Yes",'AIP Indicator'!L12, "")</f>
        <v/>
      </c>
      <c r="H9" s="4"/>
    </row>
    <row r="11" spans="1:11" x14ac:dyDescent="0.25">
      <c r="A11" s="134" t="s">
        <v>682</v>
      </c>
      <c r="B11" s="168" t="str">
        <f>_xlfn.IFS(Calculation!B3="NOT ACCEPTED","Application Declined",Calculation!B5="NOT ACCEPTED","Application Declined",Calculation!B4="NOT ACCEPTED","Application Declined",Calculation!D9="Restricted Country","Restricted Country",Calculation!D8&gt;=1000,"Application Declined",Calculation!D8&gt;=86,"Application Declined",Calculation!D8&gt;=55,"Application Declined",Calculation!D8&gt;=30,"Application Accepted in Principal",Calculation!D8&gt;0,"Application Accepted in Principal",Calculation!D8=0,"")</f>
        <v/>
      </c>
      <c r="C11" s="168" t="str">
        <f>_xlfn.IFS(Calculation!C5="NOT ACCEPTED","Application Declined",Calculation!C3="NOT ACCEPTED","Application Declined",Calculation!C4="NOT ACCEPTED","Application Declined",Calculation!E9="Restricted Country","Restricted Country",Calculation!E8&gt;=1000,"Application Declined",Calculation!E8&gt;=86,"Application Declined",Calculation!E8&gt;=55,"Application Declined",Calculation!E8&gt;=30,"Application Approved in Principal",Calculation!E8&gt;0,"Application Approved in Principal",Calculation!E8=0,"")</f>
        <v/>
      </c>
    </row>
    <row r="13" spans="1:11" x14ac:dyDescent="0.25">
      <c r="A13" t="s">
        <v>688</v>
      </c>
      <c r="B13" t="str">
        <f>IF(OR('AIP Indicator'!H11="", 'AIP Indicator'!I11="", 'AIP Indicator'!K11="", 'AIP Indicator'!L11=""), "Fail", "Pass")</f>
        <v>Fail</v>
      </c>
      <c r="C13" t="str">
        <f>IF('AIP Indicator'!E12="", "Pass", IF(OR('AIP Indicator'!H12="", 'AIP Indicator'!I12="", 'AIP Indicator'!K12="", 'AIP Indicator'!L12=""), "Fail", "Pass"))</f>
        <v>Pass</v>
      </c>
    </row>
    <row r="15" spans="1:11" x14ac:dyDescent="0.25">
      <c r="C15" s="142"/>
    </row>
    <row r="16" spans="1:11" x14ac:dyDescent="0.25">
      <c r="C16" s="142"/>
    </row>
  </sheetData>
  <dataConsolidate/>
  <mergeCells count="1">
    <mergeCell ref="J3:K3"/>
  </mergeCells>
  <conditionalFormatting sqref="B11:C11">
    <cfRule type="cellIs" dxfId="5" priority="3" operator="equal">
      <formula>"Application Declined"</formula>
    </cfRule>
    <cfRule type="cellIs" dxfId="4" priority="4" operator="equal">
      <formula>"Application Accepted in Principal"</formula>
    </cfRule>
  </conditionalFormatting>
  <conditionalFormatting sqref="C11">
    <cfRule type="containsText" dxfId="3" priority="1" operator="containsText" text="APPLICATION DECLINED">
      <formula>NOT(ISERROR(SEARCH("APPLICATION DECLINED",C11)))</formula>
    </cfRule>
    <cfRule type="cellIs" dxfId="2" priority="2" operator="equal">
      <formula>"EXTREME DECLINE"</formula>
    </cfRule>
  </conditionalFormatting>
  <conditionalFormatting sqref="H5:H8">
    <cfRule type="cellIs" dxfId="1" priority="5" operator="equal">
      <formula>"DECLINED"</formula>
    </cfRule>
  </conditionalFormatting>
  <dataValidations count="2">
    <dataValidation type="list" allowBlank="1" showInputMessage="1" showErrorMessage="1" error="Must be a number" sqref="B4:C4" xr:uid="{B683C569-07E0-4200-99DB-C72AA8698496}">
      <formula1>"LESS THAN £1M, £1M OR MORE"</formula1>
    </dataValidation>
    <dataValidation type="list" allowBlank="1" showInputMessage="1" sqref="B9:C9" xr:uid="{C12A513B-62B3-41E5-9A78-94848CA9E61B}">
      <formula1>"Yes, No"</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35B0B-8832-4AA9-957A-11F31DD3A168}">
  <sheetPr codeName="Sheet4"/>
  <dimension ref="A1:G15"/>
  <sheetViews>
    <sheetView workbookViewId="0">
      <selection activeCell="C14" sqref="C14"/>
    </sheetView>
  </sheetViews>
  <sheetFormatPr defaultRowHeight="15" x14ac:dyDescent="0.25"/>
  <cols>
    <col min="1" max="1" width="25.28515625" bestFit="1" customWidth="1"/>
    <col min="2" max="3" width="16.7109375" bestFit="1" customWidth="1"/>
    <col min="4" max="4" width="17.7109375" bestFit="1" customWidth="1"/>
    <col min="5" max="5" width="31.28515625" bestFit="1" customWidth="1"/>
    <col min="6" max="6" width="17.7109375" customWidth="1"/>
    <col min="7" max="7" width="17.7109375" bestFit="1" customWidth="1"/>
  </cols>
  <sheetData>
    <row r="1" spans="1:7" x14ac:dyDescent="0.25">
      <c r="B1" s="167" t="s">
        <v>58</v>
      </c>
      <c r="C1" s="166" t="s">
        <v>59</v>
      </c>
      <c r="D1" s="165"/>
      <c r="F1" t="s">
        <v>709</v>
      </c>
      <c r="G1" t="s">
        <v>709</v>
      </c>
    </row>
    <row r="2" spans="1:7" x14ac:dyDescent="0.25">
      <c r="A2" s="188" t="s">
        <v>691</v>
      </c>
      <c r="B2" s="164" t="str">
        <f>_xlfn.IFS('Risk Assessment New Client'!B4=0,"",'Risk Assessment New Client'!B4="LESS THAN £1M", "LOW",'Risk Assessment New Client'!B4="£1M OR MORE", "MEDIUM")</f>
        <v>LOW</v>
      </c>
      <c r="C2" s="164" t="str">
        <f>_xlfn.IFS('Risk Assessment New Client'!C4=0,"",'Risk Assessment New Client'!C4="LESS THAN £1M", "LOW",'Risk Assessment New Client'!C4="£1M OR MORE", "MEDIUM")</f>
        <v>LOW</v>
      </c>
      <c r="D2">
        <f>IF(B2="MEDIUM", 'Risk Ratings'!$G$29, 'Risk Ratings'!$G$30)</f>
        <v>0</v>
      </c>
      <c r="E2">
        <f>IF(C2="MEDIUM", 'Risk Ratings'!$G$29, 'Risk Ratings'!$G$30)</f>
        <v>0</v>
      </c>
    </row>
    <row r="3" spans="1:7" x14ac:dyDescent="0.25">
      <c r="A3" s="188" t="s">
        <v>685</v>
      </c>
      <c r="B3" s="164" t="str">
        <f>IFERROR(VLOOKUP('Risk Assessment New Client'!B5,'Risk Ratings'!A:C,3,FALSE),"")</f>
        <v/>
      </c>
      <c r="C3" s="164" t="str">
        <f>IFERROR(VLOOKUP('Risk Assessment New Client'!C5,'Risk Ratings'!A:C,3,FALSE),"")</f>
        <v/>
      </c>
      <c r="D3" t="str">
        <f>_xlfn.IFS(B3="EXTREME DECLINE",'Risk Ratings'!$G$23,B3="high",'Risk Ratings'!$G$24,B3="medium",'Risk Ratings'!$G$25,B3="low",'Risk Ratings'!$G$26,B3="NOT ACCEPTED", "HOLD",B3="","")</f>
        <v/>
      </c>
      <c r="E3" t="str">
        <f>_xlfn.IFS(C3="EXTREME DECLINE",'Risk Ratings'!$G$23,C3="high",'Risk Ratings'!$G$24,C3="medium",'Risk Ratings'!$G$25,C3="low",'Risk Ratings'!$G$26,C3="NOT ACCEPTED", "HOLD",C3="","")</f>
        <v/>
      </c>
      <c r="F3" t="str">
        <f>IF(Input!B49="NO",IFERROR(VLOOKUP('Risk Assessment New Client'!B5,'Risk Ratings'!A:D,4,FALSE),""),IFERROR(VLOOKUP('Risk Assessment New Client'!B5,'Risk Ratings'!A:E,5,FALSE),""))</f>
        <v/>
      </c>
      <c r="G3" t="str">
        <f>IF(Input!B49="NO",IFERROR(VLOOKUP('Risk Assessment New Client'!C5,'Risk Ratings'!A:D,4,FALSE),""),IFERROR(VLOOKUP('Risk Assessment New Client'!C5,'Risk Ratings'!A:E,5,FALSE),""))</f>
        <v/>
      </c>
    </row>
    <row r="4" spans="1:7" x14ac:dyDescent="0.25">
      <c r="A4" s="188" t="s">
        <v>704</v>
      </c>
      <c r="B4" s="164" t="str">
        <f>IFERROR(VLOOKUP('Risk Assessment New Client'!B6,'Risk Ratings'!B:C,2,FALSE),"")</f>
        <v/>
      </c>
      <c r="C4" s="164" t="str">
        <f>IFERROR(VLOOKUP('Risk Assessment New Client'!C6,'Risk Ratings'!B:C,2,FALSE),"")</f>
        <v/>
      </c>
      <c r="D4" t="str">
        <f>_xlfn.IFS(B4="EXTREME DECLINE",'Risk Ratings'!$G$17,B4="high",'Risk Ratings'!$G$18,B4="medium",'Risk Ratings'!$G$19,B4="low",'Risk Ratings'!$G$20,B4="NOT ACCEPTED", "HOLD",B4="","")</f>
        <v/>
      </c>
      <c r="E4" t="str">
        <f>_xlfn.IFS(C4="EXTREME DECLINE",'Risk Ratings'!$G$17,C4="high",'Risk Ratings'!$G$18,C4="medium",'Risk Ratings'!$G$19,C4="low",'Risk Ratings'!$G$20,C4="NOT ACCEPTED", "HOLD",C4="","")</f>
        <v/>
      </c>
    </row>
    <row r="5" spans="1:7" x14ac:dyDescent="0.25">
      <c r="A5" s="188" t="s">
        <v>705</v>
      </c>
      <c r="B5" s="164" t="str">
        <f>IFERROR(VLOOKUP('Risk Assessment New Client'!B7,'Risk Ratings'!B:C,2,FALSE),"")</f>
        <v/>
      </c>
      <c r="C5" s="164" t="str">
        <f>IFERROR(VLOOKUP('Risk Assessment New Client'!C7,'Risk Ratings'!B:C,2,FALSE),"")</f>
        <v/>
      </c>
      <c r="D5" t="str">
        <f>_xlfn.IFS(B5="EXTREME DECLINE",'Risk Ratings'!$G$17,B5="high",'Risk Ratings'!$G$18,B5="medium",'Risk Ratings'!$G$19,B5="low",'Risk Ratings'!$G$20,B5="NOT ACCEPTED", "HOLD",B5="","")</f>
        <v/>
      </c>
      <c r="E5" t="str">
        <f>_xlfn.IFS(C5="EXTREME DECLINE",'Risk Ratings'!$G$17,C5="high",'Risk Ratings'!$G$18,C5="medium",'Risk Ratings'!$G$19,C5="low",'Risk Ratings'!$G$20,C5="NOT ACCEPTED", "HOLD",C5="","")</f>
        <v/>
      </c>
    </row>
    <row r="6" spans="1:7" x14ac:dyDescent="0.25">
      <c r="A6" s="188" t="s">
        <v>684</v>
      </c>
      <c r="B6" s="164" t="str">
        <f>IFERROR((VLOOKUP('Risk Assessment New Client'!B8,'Risk Ratings'!$J:$K,2,FALSE)),"")</f>
        <v/>
      </c>
      <c r="C6" s="164" t="str">
        <f>IFERROR((VLOOKUP('Risk Assessment New Client'!C8,'Risk Ratings'!$J:$K,2,FALSE)),"")</f>
        <v/>
      </c>
      <c r="D6" t="str">
        <f>_xlfn.IFS(B6="EXTREME DECLINE",'Risk Ratings'!$G$35,B6="high",'Risk Ratings'!$G$34,B6="low",'Risk Ratings'!$G$33,B6="","")</f>
        <v/>
      </c>
      <c r="E6" t="str">
        <f>_xlfn.IFS(C6="EXTREME DECLINE",'Risk Ratings'!$G$35,C6="high",'Risk Ratings'!$G$34,C6="low",'Risk Ratings'!$G$33,C6="","")</f>
        <v/>
      </c>
    </row>
    <row r="7" spans="1:7" x14ac:dyDescent="0.25">
      <c r="A7" s="188" t="s">
        <v>683</v>
      </c>
      <c r="B7" s="164" t="str">
        <f>IF('Risk Assessment New Client'!B9="YES","HIGH","LOW")</f>
        <v>LOW</v>
      </c>
      <c r="C7" s="164" t="str">
        <f>IF('Risk Assessment New Client'!C9="YES","HIGH","LOW")</f>
        <v>LOW</v>
      </c>
      <c r="D7">
        <f>IF(B7="high",'Risk Ratings'!$G$14,0)</f>
        <v>0</v>
      </c>
      <c r="E7">
        <f>IF(C7="high",'Risk Ratings'!$G$14,0)</f>
        <v>0</v>
      </c>
    </row>
    <row r="8" spans="1:7" x14ac:dyDescent="0.25">
      <c r="D8">
        <f>IFERROR(SUM(D2+D3+D6+D7)+MAX(D4:D5),0)</f>
        <v>0</v>
      </c>
      <c r="E8">
        <f>IFERROR(SUM(E2+E3+E6+E7)+MAX(E4:E5),0)</f>
        <v>0</v>
      </c>
    </row>
    <row r="9" spans="1:7" x14ac:dyDescent="0.25">
      <c r="D9" s="4" t="str">
        <f>_xlfn.IFS(F3="Yes","Restricted Country",D8&gt;=1000,"PEP",D8&gt;=86,"Application Declined",D8&gt;=55,"Application Declined",D8&gt;=30,"Application Accepted in Principal",D8&gt;0,"Application Accepted in Principal",D8=0,"")</f>
        <v/>
      </c>
      <c r="E9" t="str">
        <f>_xlfn.IFS(G3="Yes","Restricted Country",E8&gt;=1000,"PEP",E8&gt;=86,"Application Declined",E8&gt;=55,"Application Declined",E8&gt;=30,"Application Approved in Principal",E8&gt;0,"Application Approved in Principal",E8=0,"")</f>
        <v/>
      </c>
    </row>
    <row r="14" spans="1:7" x14ac:dyDescent="0.25">
      <c r="B14" s="142"/>
    </row>
    <row r="15" spans="1:7" x14ac:dyDescent="0.25">
      <c r="C15" s="163"/>
      <c r="D15" s="162"/>
    </row>
  </sheetData>
  <conditionalFormatting sqref="B3:E6">
    <cfRule type="cellIs" dxfId="0" priority="1" operator="equal">
      <formula>"DECLINED"</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15242-9F3B-4DAA-BFCF-AD1469BB7AD1}">
  <sheetPr codeName="Sheet3"/>
  <dimension ref="A1:K237"/>
  <sheetViews>
    <sheetView workbookViewId="0">
      <selection activeCell="C14" sqref="C14"/>
    </sheetView>
  </sheetViews>
  <sheetFormatPr defaultRowHeight="15" x14ac:dyDescent="0.25"/>
  <cols>
    <col min="1" max="1" width="29" bestFit="1" customWidth="1"/>
    <col min="2" max="2" width="47.7109375" bestFit="1" customWidth="1"/>
    <col min="3" max="3" width="21.7109375" bestFit="1" customWidth="1"/>
    <col min="4" max="4" width="21.7109375" customWidth="1"/>
    <col min="5" max="5" width="19.5703125" customWidth="1"/>
    <col min="6" max="6" width="17" customWidth="1"/>
    <col min="7" max="7" width="15.28515625" customWidth="1"/>
    <col min="10" max="10" width="38.28515625" bestFit="1" customWidth="1"/>
    <col min="11" max="11" width="16.7109375" bestFit="1" customWidth="1"/>
  </cols>
  <sheetData>
    <row r="1" spans="1:11" ht="15.75" thickBot="1" x14ac:dyDescent="0.3">
      <c r="A1" s="134" t="s">
        <v>681</v>
      </c>
      <c r="B1" s="134" t="s">
        <v>189</v>
      </c>
      <c r="C1" s="134" t="s">
        <v>679</v>
      </c>
      <c r="D1" s="134" t="s">
        <v>707</v>
      </c>
      <c r="E1" s="134" t="s">
        <v>716</v>
      </c>
      <c r="J1" s="134" t="s">
        <v>680</v>
      </c>
      <c r="K1" s="134" t="s">
        <v>679</v>
      </c>
    </row>
    <row r="2" spans="1:11" x14ac:dyDescent="0.25">
      <c r="A2" t="s">
        <v>678</v>
      </c>
      <c r="B2" t="s">
        <v>677</v>
      </c>
      <c r="C2" s="161" t="s">
        <v>199</v>
      </c>
      <c r="D2" s="189"/>
      <c r="J2" t="s">
        <v>676</v>
      </c>
      <c r="K2" s="161" t="s">
        <v>199</v>
      </c>
    </row>
    <row r="3" spans="1:11" x14ac:dyDescent="0.25">
      <c r="A3" t="s">
        <v>675</v>
      </c>
      <c r="B3" t="s">
        <v>674</v>
      </c>
      <c r="C3" s="153" t="s">
        <v>199</v>
      </c>
      <c r="D3" s="189"/>
      <c r="J3" t="s">
        <v>673</v>
      </c>
      <c r="K3" s="153" t="s">
        <v>204</v>
      </c>
    </row>
    <row r="4" spans="1:11" x14ac:dyDescent="0.25">
      <c r="A4" t="s">
        <v>672</v>
      </c>
      <c r="B4" t="s">
        <v>671</v>
      </c>
      <c r="C4" s="153" t="s">
        <v>199</v>
      </c>
      <c r="D4" s="189" t="s">
        <v>693</v>
      </c>
      <c r="J4" t="s">
        <v>670</v>
      </c>
      <c r="K4" s="153" t="s">
        <v>204</v>
      </c>
    </row>
    <row r="5" spans="1:11" ht="15.75" thickBot="1" x14ac:dyDescent="0.3">
      <c r="A5" t="s">
        <v>669</v>
      </c>
      <c r="B5" t="s">
        <v>668</v>
      </c>
      <c r="C5" s="153" t="s">
        <v>703</v>
      </c>
      <c r="D5" s="189"/>
      <c r="F5" s="134" t="s">
        <v>664</v>
      </c>
      <c r="G5" s="134" t="s">
        <v>663</v>
      </c>
      <c r="J5" t="s">
        <v>726</v>
      </c>
      <c r="K5" s="153" t="s">
        <v>204</v>
      </c>
    </row>
    <row r="6" spans="1:11" x14ac:dyDescent="0.25">
      <c r="A6" t="s">
        <v>666</v>
      </c>
      <c r="B6" t="s">
        <v>665</v>
      </c>
      <c r="C6" s="153" t="s">
        <v>229</v>
      </c>
      <c r="D6" s="189"/>
      <c r="F6" t="s">
        <v>191</v>
      </c>
      <c r="G6" s="158">
        <v>1000</v>
      </c>
      <c r="J6" t="s">
        <v>667</v>
      </c>
      <c r="K6" s="153" t="s">
        <v>204</v>
      </c>
    </row>
    <row r="7" spans="1:11" x14ac:dyDescent="0.25">
      <c r="A7" t="s">
        <v>661</v>
      </c>
      <c r="B7" t="s">
        <v>660</v>
      </c>
      <c r="C7" s="153" t="s">
        <v>199</v>
      </c>
      <c r="D7" s="189"/>
      <c r="F7" t="s">
        <v>656</v>
      </c>
      <c r="G7" s="159">
        <v>86</v>
      </c>
      <c r="J7" t="s">
        <v>662</v>
      </c>
      <c r="K7" s="153" t="s">
        <v>204</v>
      </c>
    </row>
    <row r="8" spans="1:11" x14ac:dyDescent="0.25">
      <c r="A8" t="s">
        <v>658</v>
      </c>
      <c r="B8" t="s">
        <v>657</v>
      </c>
      <c r="C8" s="153" t="s">
        <v>204</v>
      </c>
      <c r="D8" s="189"/>
      <c r="F8" t="s">
        <v>655</v>
      </c>
      <c r="G8" s="159">
        <v>55</v>
      </c>
      <c r="J8" t="s">
        <v>659</v>
      </c>
      <c r="K8" s="153" t="s">
        <v>192</v>
      </c>
    </row>
    <row r="9" spans="1:11" x14ac:dyDescent="0.25">
      <c r="A9" t="s">
        <v>658</v>
      </c>
      <c r="B9" t="s">
        <v>657</v>
      </c>
      <c r="C9" s="153" t="s">
        <v>204</v>
      </c>
      <c r="D9" s="189"/>
      <c r="F9" t="s">
        <v>651</v>
      </c>
      <c r="G9" s="159">
        <v>30</v>
      </c>
      <c r="J9" t="s">
        <v>725</v>
      </c>
      <c r="K9" s="153" t="s">
        <v>204</v>
      </c>
    </row>
    <row r="10" spans="1:11" ht="15.75" thickBot="1" x14ac:dyDescent="0.3">
      <c r="A10" t="s">
        <v>653</v>
      </c>
      <c r="B10" t="s">
        <v>652</v>
      </c>
      <c r="C10" s="153" t="s">
        <v>229</v>
      </c>
      <c r="D10" s="189"/>
      <c r="F10" t="s">
        <v>647</v>
      </c>
      <c r="G10" s="157">
        <v>0</v>
      </c>
      <c r="J10" t="s">
        <v>654</v>
      </c>
      <c r="K10" s="153" t="s">
        <v>204</v>
      </c>
    </row>
    <row r="11" spans="1:11" ht="15.75" thickBot="1" x14ac:dyDescent="0.3">
      <c r="A11" t="s">
        <v>649</v>
      </c>
      <c r="B11" t="s">
        <v>648</v>
      </c>
      <c r="C11" s="153" t="s">
        <v>229</v>
      </c>
      <c r="D11" s="189"/>
      <c r="J11" t="s">
        <v>650</v>
      </c>
      <c r="K11" s="207" t="s">
        <v>204</v>
      </c>
    </row>
    <row r="12" spans="1:11" ht="15.75" thickBot="1" x14ac:dyDescent="0.3">
      <c r="A12" t="s">
        <v>646</v>
      </c>
      <c r="B12" t="s">
        <v>645</v>
      </c>
      <c r="C12" s="153" t="s">
        <v>204</v>
      </c>
      <c r="D12" s="189"/>
      <c r="F12" s="134" t="s">
        <v>642</v>
      </c>
      <c r="G12" s="160">
        <v>4</v>
      </c>
    </row>
    <row r="13" spans="1:11" ht="15.75" thickBot="1" x14ac:dyDescent="0.3">
      <c r="A13" t="s">
        <v>644</v>
      </c>
      <c r="B13" t="s">
        <v>643</v>
      </c>
      <c r="C13" s="153" t="s">
        <v>229</v>
      </c>
      <c r="D13" s="189"/>
    </row>
    <row r="14" spans="1:11" ht="15.75" thickBot="1" x14ac:dyDescent="0.3">
      <c r="A14" t="s">
        <v>641</v>
      </c>
      <c r="B14" t="s">
        <v>640</v>
      </c>
      <c r="C14" s="153" t="s">
        <v>229</v>
      </c>
      <c r="D14" s="189"/>
      <c r="F14" s="134" t="s">
        <v>637</v>
      </c>
      <c r="G14" s="160">
        <v>1000</v>
      </c>
    </row>
    <row r="15" spans="1:11" x14ac:dyDescent="0.25">
      <c r="A15" t="s">
        <v>639</v>
      </c>
      <c r="B15" t="s">
        <v>638</v>
      </c>
      <c r="C15" s="153" t="s">
        <v>204</v>
      </c>
      <c r="D15" s="189"/>
    </row>
    <row r="16" spans="1:11" ht="15.75" thickBot="1" x14ac:dyDescent="0.3">
      <c r="A16" t="s">
        <v>636</v>
      </c>
      <c r="B16" t="s">
        <v>635</v>
      </c>
      <c r="C16" s="153" t="s">
        <v>229</v>
      </c>
      <c r="D16" s="189"/>
      <c r="F16" s="134" t="s">
        <v>632</v>
      </c>
    </row>
    <row r="17" spans="1:7" x14ac:dyDescent="0.25">
      <c r="A17" t="s">
        <v>634</v>
      </c>
      <c r="B17" t="s">
        <v>633</v>
      </c>
      <c r="C17" s="153" t="s">
        <v>229</v>
      </c>
      <c r="D17" s="189"/>
      <c r="F17" t="s">
        <v>616</v>
      </c>
      <c r="G17" s="158">
        <v>35</v>
      </c>
    </row>
    <row r="18" spans="1:7" x14ac:dyDescent="0.25">
      <c r="A18" t="s">
        <v>631</v>
      </c>
      <c r="B18" t="s">
        <v>630</v>
      </c>
      <c r="C18" s="153" t="s">
        <v>199</v>
      </c>
      <c r="D18" s="189" t="s">
        <v>693</v>
      </c>
      <c r="E18" t="s">
        <v>693</v>
      </c>
      <c r="F18" t="s">
        <v>204</v>
      </c>
      <c r="G18" s="159">
        <v>25</v>
      </c>
    </row>
    <row r="19" spans="1:7" x14ac:dyDescent="0.25">
      <c r="A19" t="s">
        <v>629</v>
      </c>
      <c r="B19" t="s">
        <v>628</v>
      </c>
      <c r="C19" s="153" t="s">
        <v>199</v>
      </c>
      <c r="D19" s="189"/>
      <c r="F19" t="s">
        <v>229</v>
      </c>
      <c r="G19" s="159">
        <v>10</v>
      </c>
    </row>
    <row r="20" spans="1:7" ht="15.75" thickBot="1" x14ac:dyDescent="0.3">
      <c r="A20" t="s">
        <v>627</v>
      </c>
      <c r="B20" t="s">
        <v>626</v>
      </c>
      <c r="C20" s="153" t="s">
        <v>204</v>
      </c>
      <c r="D20" s="189"/>
      <c r="F20" t="s">
        <v>199</v>
      </c>
      <c r="G20" s="157">
        <v>0</v>
      </c>
    </row>
    <row r="21" spans="1:7" x14ac:dyDescent="0.25">
      <c r="A21" t="s">
        <v>625</v>
      </c>
      <c r="B21" t="s">
        <v>624</v>
      </c>
      <c r="C21" s="153" t="s">
        <v>229</v>
      </c>
      <c r="D21" s="189"/>
    </row>
    <row r="22" spans="1:7" ht="15.75" thickBot="1" x14ac:dyDescent="0.3">
      <c r="A22" t="s">
        <v>623</v>
      </c>
      <c r="B22" t="s">
        <v>622</v>
      </c>
      <c r="C22" s="153" t="s">
        <v>229</v>
      </c>
      <c r="D22" s="189"/>
      <c r="F22" s="134" t="s">
        <v>619</v>
      </c>
    </row>
    <row r="23" spans="1:7" x14ac:dyDescent="0.25">
      <c r="A23" t="s">
        <v>621</v>
      </c>
      <c r="B23" t="s">
        <v>620</v>
      </c>
      <c r="C23" s="153" t="s">
        <v>204</v>
      </c>
      <c r="D23" s="189"/>
      <c r="F23" t="s">
        <v>616</v>
      </c>
      <c r="G23" s="158">
        <v>100</v>
      </c>
    </row>
    <row r="24" spans="1:7" x14ac:dyDescent="0.25">
      <c r="A24" t="s">
        <v>618</v>
      </c>
      <c r="B24" t="s">
        <v>617</v>
      </c>
      <c r="C24" s="153" t="s">
        <v>204</v>
      </c>
      <c r="D24" s="189"/>
      <c r="F24" t="s">
        <v>204</v>
      </c>
      <c r="G24" s="159">
        <v>50</v>
      </c>
    </row>
    <row r="25" spans="1:7" x14ac:dyDescent="0.25">
      <c r="A25" t="s">
        <v>615</v>
      </c>
      <c r="B25" t="s">
        <v>614</v>
      </c>
      <c r="C25" s="153" t="s">
        <v>703</v>
      </c>
      <c r="D25" s="189"/>
      <c r="F25" t="s">
        <v>229</v>
      </c>
      <c r="G25" s="159">
        <v>24</v>
      </c>
    </row>
    <row r="26" spans="1:7" ht="15.75" thickBot="1" x14ac:dyDescent="0.3">
      <c r="A26" t="s">
        <v>613</v>
      </c>
      <c r="B26" t="s">
        <v>612</v>
      </c>
      <c r="C26" s="153" t="s">
        <v>199</v>
      </c>
      <c r="D26" s="189"/>
      <c r="F26" t="s">
        <v>199</v>
      </c>
      <c r="G26" s="157">
        <v>14</v>
      </c>
    </row>
    <row r="27" spans="1:7" x14ac:dyDescent="0.25">
      <c r="A27" t="s">
        <v>611</v>
      </c>
      <c r="B27" t="s">
        <v>610</v>
      </c>
      <c r="C27" s="153" t="s">
        <v>229</v>
      </c>
      <c r="D27" s="189"/>
    </row>
    <row r="28" spans="1:7" ht="15.75" thickBot="1" x14ac:dyDescent="0.3">
      <c r="A28" t="s">
        <v>727</v>
      </c>
      <c r="B28" t="s">
        <v>728</v>
      </c>
      <c r="C28" s="153" t="s">
        <v>204</v>
      </c>
      <c r="D28" s="189"/>
      <c r="F28" s="134" t="s">
        <v>605</v>
      </c>
    </row>
    <row r="29" spans="1:7" x14ac:dyDescent="0.25">
      <c r="A29" t="s">
        <v>609</v>
      </c>
      <c r="B29" t="s">
        <v>608</v>
      </c>
      <c r="C29" s="153" t="s">
        <v>199</v>
      </c>
      <c r="D29" s="189"/>
      <c r="F29" t="s">
        <v>229</v>
      </c>
      <c r="G29" s="158">
        <v>6</v>
      </c>
    </row>
    <row r="30" spans="1:7" ht="15.75" thickBot="1" x14ac:dyDescent="0.3">
      <c r="A30" t="s">
        <v>607</v>
      </c>
      <c r="B30" t="s">
        <v>606</v>
      </c>
      <c r="C30" s="153" t="s">
        <v>229</v>
      </c>
      <c r="D30" s="189"/>
      <c r="F30" t="s">
        <v>199</v>
      </c>
      <c r="G30" s="157">
        <v>0</v>
      </c>
    </row>
    <row r="31" spans="1:7" x14ac:dyDescent="0.25">
      <c r="A31" t="s">
        <v>604</v>
      </c>
      <c r="B31" t="s">
        <v>603</v>
      </c>
      <c r="C31" s="153" t="s">
        <v>204</v>
      </c>
      <c r="D31" s="189"/>
    </row>
    <row r="32" spans="1:7" ht="15.75" thickBot="1" x14ac:dyDescent="0.3">
      <c r="A32" t="s">
        <v>602</v>
      </c>
      <c r="B32" t="s">
        <v>601</v>
      </c>
      <c r="C32" s="153" t="s">
        <v>229</v>
      </c>
      <c r="D32" s="189"/>
      <c r="F32" s="134" t="s">
        <v>596</v>
      </c>
    </row>
    <row r="33" spans="1:7" x14ac:dyDescent="0.25">
      <c r="A33" t="s">
        <v>600</v>
      </c>
      <c r="B33" t="s">
        <v>599</v>
      </c>
      <c r="C33" s="153" t="s">
        <v>703</v>
      </c>
      <c r="D33" s="189"/>
      <c r="F33" t="s">
        <v>199</v>
      </c>
      <c r="G33" s="156">
        <v>0</v>
      </c>
    </row>
    <row r="34" spans="1:7" x14ac:dyDescent="0.25">
      <c r="A34" t="s">
        <v>598</v>
      </c>
      <c r="B34" t="s">
        <v>597</v>
      </c>
      <c r="C34" s="153" t="s">
        <v>229</v>
      </c>
      <c r="D34" s="189"/>
      <c r="F34" t="s">
        <v>204</v>
      </c>
      <c r="G34" s="155">
        <v>45</v>
      </c>
    </row>
    <row r="35" spans="1:7" ht="15.75" thickBot="1" x14ac:dyDescent="0.3">
      <c r="A35" t="s">
        <v>595</v>
      </c>
      <c r="B35" t="s">
        <v>594</v>
      </c>
      <c r="C35" s="153" t="s">
        <v>229</v>
      </c>
      <c r="D35" s="189"/>
      <c r="F35" t="s">
        <v>192</v>
      </c>
      <c r="G35" s="154">
        <v>100</v>
      </c>
    </row>
    <row r="36" spans="1:7" x14ac:dyDescent="0.25">
      <c r="A36" t="s">
        <v>593</v>
      </c>
      <c r="B36" t="s">
        <v>592</v>
      </c>
      <c r="C36" s="153" t="s">
        <v>229</v>
      </c>
      <c r="D36" s="189"/>
    </row>
    <row r="37" spans="1:7" x14ac:dyDescent="0.25">
      <c r="A37" t="s">
        <v>591</v>
      </c>
      <c r="B37" t="s">
        <v>590</v>
      </c>
      <c r="C37" s="153" t="s">
        <v>229</v>
      </c>
      <c r="D37" s="189"/>
    </row>
    <row r="38" spans="1:7" x14ac:dyDescent="0.25">
      <c r="A38" t="s">
        <v>589</v>
      </c>
      <c r="B38" t="s">
        <v>588</v>
      </c>
      <c r="C38" s="153" t="s">
        <v>204</v>
      </c>
      <c r="D38" s="189"/>
    </row>
    <row r="39" spans="1:7" x14ac:dyDescent="0.25">
      <c r="A39" t="s">
        <v>587</v>
      </c>
      <c r="B39" t="s">
        <v>586</v>
      </c>
      <c r="C39" s="153" t="s">
        <v>204</v>
      </c>
      <c r="D39" s="189"/>
    </row>
    <row r="40" spans="1:7" x14ac:dyDescent="0.25">
      <c r="A40" t="s">
        <v>585</v>
      </c>
      <c r="B40" t="s">
        <v>584</v>
      </c>
      <c r="C40" s="153" t="s">
        <v>192</v>
      </c>
      <c r="D40" s="189"/>
    </row>
    <row r="41" spans="1:7" x14ac:dyDescent="0.25">
      <c r="A41" t="s">
        <v>583</v>
      </c>
      <c r="B41" t="s">
        <v>582</v>
      </c>
      <c r="C41" s="153" t="s">
        <v>703</v>
      </c>
      <c r="D41" s="189"/>
    </row>
    <row r="42" spans="1:7" x14ac:dyDescent="0.25">
      <c r="A42" t="s">
        <v>581</v>
      </c>
      <c r="B42" t="s">
        <v>580</v>
      </c>
      <c r="C42" s="153" t="s">
        <v>204</v>
      </c>
      <c r="D42" s="189"/>
    </row>
    <row r="43" spans="1:7" x14ac:dyDescent="0.25">
      <c r="A43" t="s">
        <v>579</v>
      </c>
      <c r="B43" t="s">
        <v>578</v>
      </c>
      <c r="C43" s="153" t="s">
        <v>204</v>
      </c>
      <c r="D43" s="189"/>
    </row>
    <row r="44" spans="1:7" x14ac:dyDescent="0.25">
      <c r="A44" t="s">
        <v>577</v>
      </c>
      <c r="B44" t="s">
        <v>576</v>
      </c>
      <c r="C44" s="153" t="s">
        <v>199</v>
      </c>
      <c r="D44" s="189"/>
    </row>
    <row r="45" spans="1:7" x14ac:dyDescent="0.25">
      <c r="A45" t="s">
        <v>575</v>
      </c>
      <c r="B45" t="s">
        <v>574</v>
      </c>
      <c r="C45" s="153" t="s">
        <v>229</v>
      </c>
      <c r="D45" s="189"/>
    </row>
    <row r="46" spans="1:7" x14ac:dyDescent="0.25">
      <c r="A46" t="s">
        <v>573</v>
      </c>
      <c r="B46" t="s">
        <v>572</v>
      </c>
      <c r="C46" s="153" t="s">
        <v>229</v>
      </c>
      <c r="D46" s="189"/>
    </row>
    <row r="47" spans="1:7" x14ac:dyDescent="0.25">
      <c r="A47" t="s">
        <v>571</v>
      </c>
      <c r="B47" t="s">
        <v>570</v>
      </c>
      <c r="C47" s="153" t="s">
        <v>229</v>
      </c>
      <c r="D47" s="189"/>
    </row>
    <row r="48" spans="1:7" x14ac:dyDescent="0.25">
      <c r="A48" t="s">
        <v>569</v>
      </c>
      <c r="B48" t="s">
        <v>568</v>
      </c>
      <c r="C48" s="153" t="s">
        <v>703</v>
      </c>
      <c r="D48" s="189"/>
    </row>
    <row r="49" spans="1:4" x14ac:dyDescent="0.25">
      <c r="A49" t="s">
        <v>567</v>
      </c>
      <c r="B49" t="s">
        <v>566</v>
      </c>
      <c r="C49" s="153" t="s">
        <v>199</v>
      </c>
      <c r="D49" s="189"/>
    </row>
    <row r="50" spans="1:4" x14ac:dyDescent="0.25">
      <c r="A50" t="s">
        <v>565</v>
      </c>
      <c r="B50" t="s">
        <v>564</v>
      </c>
      <c r="C50" s="153" t="s">
        <v>204</v>
      </c>
      <c r="D50" s="189"/>
    </row>
    <row r="51" spans="1:4" x14ac:dyDescent="0.25">
      <c r="A51" t="s">
        <v>563</v>
      </c>
      <c r="B51" t="s">
        <v>562</v>
      </c>
      <c r="C51" s="153" t="s">
        <v>204</v>
      </c>
      <c r="D51" s="189"/>
    </row>
    <row r="52" spans="1:4" x14ac:dyDescent="0.25">
      <c r="A52" t="s">
        <v>561</v>
      </c>
      <c r="B52" t="s">
        <v>560</v>
      </c>
      <c r="C52" s="153" t="s">
        <v>229</v>
      </c>
      <c r="D52" s="189"/>
    </row>
    <row r="53" spans="1:4" x14ac:dyDescent="0.25">
      <c r="A53" t="s">
        <v>559</v>
      </c>
      <c r="B53" t="s">
        <v>558</v>
      </c>
      <c r="C53" s="153" t="s">
        <v>229</v>
      </c>
      <c r="D53" s="189"/>
    </row>
    <row r="54" spans="1:4" x14ac:dyDescent="0.25">
      <c r="A54" t="s">
        <v>557</v>
      </c>
      <c r="B54" t="s">
        <v>556</v>
      </c>
      <c r="C54" s="153" t="s">
        <v>192</v>
      </c>
      <c r="D54" s="189"/>
    </row>
    <row r="55" spans="1:4" x14ac:dyDescent="0.25">
      <c r="A55" t="s">
        <v>555</v>
      </c>
      <c r="B55" t="s">
        <v>554</v>
      </c>
      <c r="C55" s="153" t="s">
        <v>204</v>
      </c>
      <c r="D55" s="189"/>
    </row>
    <row r="56" spans="1:4" x14ac:dyDescent="0.25">
      <c r="A56" t="s">
        <v>553</v>
      </c>
      <c r="B56" t="s">
        <v>552</v>
      </c>
      <c r="C56" s="153" t="s">
        <v>703</v>
      </c>
      <c r="D56" s="189"/>
    </row>
    <row r="57" spans="1:4" x14ac:dyDescent="0.25">
      <c r="A57" t="s">
        <v>551</v>
      </c>
      <c r="B57" t="s">
        <v>550</v>
      </c>
      <c r="C57" s="153" t="s">
        <v>229</v>
      </c>
      <c r="D57" s="189"/>
    </row>
    <row r="58" spans="1:4" x14ac:dyDescent="0.25">
      <c r="A58" t="s">
        <v>549</v>
      </c>
      <c r="B58" t="s">
        <v>548</v>
      </c>
      <c r="C58" s="153" t="s">
        <v>204</v>
      </c>
      <c r="D58" s="189"/>
    </row>
    <row r="59" spans="1:4" x14ac:dyDescent="0.25">
      <c r="A59" t="s">
        <v>547</v>
      </c>
      <c r="B59" t="s">
        <v>546</v>
      </c>
      <c r="C59" s="153" t="s">
        <v>204</v>
      </c>
      <c r="D59" s="189"/>
    </row>
    <row r="60" spans="1:4" x14ac:dyDescent="0.25">
      <c r="A60" t="s">
        <v>545</v>
      </c>
      <c r="B60" t="s">
        <v>544</v>
      </c>
      <c r="C60" s="153" t="s">
        <v>703</v>
      </c>
      <c r="D60" s="189"/>
    </row>
    <row r="61" spans="1:4" x14ac:dyDescent="0.25">
      <c r="A61" t="s">
        <v>543</v>
      </c>
      <c r="B61" t="s">
        <v>542</v>
      </c>
      <c r="C61" s="153" t="s">
        <v>204</v>
      </c>
      <c r="D61" s="189"/>
    </row>
    <row r="62" spans="1:4" x14ac:dyDescent="0.25">
      <c r="A62" t="s">
        <v>541</v>
      </c>
      <c r="B62" t="s">
        <v>540</v>
      </c>
      <c r="C62" s="153" t="s">
        <v>199</v>
      </c>
      <c r="D62" s="189"/>
    </row>
    <row r="63" spans="1:4" x14ac:dyDescent="0.25">
      <c r="A63" t="s">
        <v>539</v>
      </c>
      <c r="B63" t="s">
        <v>538</v>
      </c>
      <c r="C63" s="153" t="s">
        <v>229</v>
      </c>
      <c r="D63" s="189"/>
    </row>
    <row r="64" spans="1:4" x14ac:dyDescent="0.25">
      <c r="A64" t="s">
        <v>537</v>
      </c>
      <c r="B64" t="s">
        <v>536</v>
      </c>
      <c r="C64" s="153" t="s">
        <v>199</v>
      </c>
      <c r="D64" s="189"/>
    </row>
    <row r="65" spans="1:4" x14ac:dyDescent="0.25">
      <c r="A65" t="s">
        <v>535</v>
      </c>
      <c r="B65" t="s">
        <v>534</v>
      </c>
      <c r="C65" s="153" t="s">
        <v>204</v>
      </c>
      <c r="D65" s="189"/>
    </row>
    <row r="66" spans="1:4" x14ac:dyDescent="0.25">
      <c r="A66" t="s">
        <v>533</v>
      </c>
      <c r="B66" t="s">
        <v>532</v>
      </c>
      <c r="C66" s="153" t="s">
        <v>229</v>
      </c>
      <c r="D66" s="189"/>
    </row>
    <row r="67" spans="1:4" x14ac:dyDescent="0.25">
      <c r="A67" t="s">
        <v>531</v>
      </c>
      <c r="B67" t="s">
        <v>530</v>
      </c>
      <c r="C67" s="153" t="s">
        <v>204</v>
      </c>
      <c r="D67" s="189"/>
    </row>
    <row r="68" spans="1:4" x14ac:dyDescent="0.25">
      <c r="A68" t="s">
        <v>529</v>
      </c>
      <c r="B68" t="s">
        <v>528</v>
      </c>
      <c r="C68" s="153" t="s">
        <v>204</v>
      </c>
      <c r="D68" s="189"/>
    </row>
    <row r="69" spans="1:4" x14ac:dyDescent="0.25">
      <c r="A69" t="s">
        <v>527</v>
      </c>
      <c r="B69" t="s">
        <v>526</v>
      </c>
      <c r="C69" s="153" t="s">
        <v>204</v>
      </c>
      <c r="D69" s="189"/>
    </row>
    <row r="70" spans="1:4" x14ac:dyDescent="0.25">
      <c r="A70" t="s">
        <v>525</v>
      </c>
      <c r="B70" t="s">
        <v>524</v>
      </c>
      <c r="C70" s="153" t="s">
        <v>199</v>
      </c>
      <c r="D70" s="189"/>
    </row>
    <row r="71" spans="1:4" x14ac:dyDescent="0.25">
      <c r="A71" t="s">
        <v>523</v>
      </c>
      <c r="B71" t="s">
        <v>522</v>
      </c>
      <c r="C71" s="153" t="s">
        <v>204</v>
      </c>
      <c r="D71" s="189"/>
    </row>
    <row r="72" spans="1:4" x14ac:dyDescent="0.25">
      <c r="A72" t="s">
        <v>521</v>
      </c>
      <c r="B72" t="s">
        <v>520</v>
      </c>
      <c r="C72" s="153" t="s">
        <v>703</v>
      </c>
      <c r="D72" s="189"/>
    </row>
    <row r="73" spans="1:4" x14ac:dyDescent="0.25">
      <c r="A73" t="s">
        <v>519</v>
      </c>
      <c r="B73" t="s">
        <v>518</v>
      </c>
      <c r="C73" s="153" t="s">
        <v>199</v>
      </c>
      <c r="D73" s="189"/>
    </row>
    <row r="74" spans="1:4" x14ac:dyDescent="0.25">
      <c r="A74" t="s">
        <v>517</v>
      </c>
      <c r="B74" t="s">
        <v>516</v>
      </c>
      <c r="C74" s="153" t="s">
        <v>204</v>
      </c>
      <c r="D74" s="189"/>
    </row>
    <row r="75" spans="1:4" x14ac:dyDescent="0.25">
      <c r="A75" t="s">
        <v>515</v>
      </c>
      <c r="B75" t="s">
        <v>514</v>
      </c>
      <c r="C75" s="153" t="s">
        <v>229</v>
      </c>
      <c r="D75" s="189"/>
    </row>
    <row r="76" spans="1:4" x14ac:dyDescent="0.25">
      <c r="A76" t="s">
        <v>513</v>
      </c>
      <c r="B76" t="s">
        <v>512</v>
      </c>
      <c r="C76" s="153" t="s">
        <v>229</v>
      </c>
      <c r="D76" s="189"/>
    </row>
    <row r="77" spans="1:4" x14ac:dyDescent="0.25">
      <c r="A77" t="s">
        <v>511</v>
      </c>
      <c r="B77" t="s">
        <v>510</v>
      </c>
      <c r="C77" s="153" t="s">
        <v>229</v>
      </c>
      <c r="D77" s="189"/>
    </row>
    <row r="78" spans="1:4" x14ac:dyDescent="0.25">
      <c r="A78" t="s">
        <v>509</v>
      </c>
      <c r="B78" t="s">
        <v>508</v>
      </c>
      <c r="C78" s="153" t="s">
        <v>199</v>
      </c>
      <c r="D78" s="189"/>
    </row>
    <row r="79" spans="1:4" x14ac:dyDescent="0.25">
      <c r="A79" t="s">
        <v>507</v>
      </c>
      <c r="B79" t="s">
        <v>506</v>
      </c>
      <c r="C79" s="153" t="s">
        <v>229</v>
      </c>
      <c r="D79" s="189"/>
    </row>
    <row r="80" spans="1:4" x14ac:dyDescent="0.25">
      <c r="A80" t="s">
        <v>505</v>
      </c>
      <c r="B80" t="s">
        <v>504</v>
      </c>
      <c r="C80" s="153" t="s">
        <v>199</v>
      </c>
      <c r="D80" s="189"/>
    </row>
    <row r="81" spans="1:4" x14ac:dyDescent="0.25">
      <c r="A81" t="s">
        <v>503</v>
      </c>
      <c r="B81" t="s">
        <v>502</v>
      </c>
      <c r="C81" s="153" t="s">
        <v>204</v>
      </c>
      <c r="D81" s="189"/>
    </row>
    <row r="82" spans="1:4" x14ac:dyDescent="0.25">
      <c r="A82" t="s">
        <v>501</v>
      </c>
      <c r="B82" t="s">
        <v>500</v>
      </c>
      <c r="C82" s="153" t="s">
        <v>229</v>
      </c>
      <c r="D82" s="189"/>
    </row>
    <row r="83" spans="1:4" x14ac:dyDescent="0.25">
      <c r="A83" t="s">
        <v>499</v>
      </c>
      <c r="B83" t="s">
        <v>498</v>
      </c>
      <c r="C83" s="153" t="s">
        <v>199</v>
      </c>
      <c r="D83" s="189"/>
    </row>
    <row r="84" spans="1:4" x14ac:dyDescent="0.25">
      <c r="A84" t="s">
        <v>497</v>
      </c>
      <c r="B84" t="s">
        <v>496</v>
      </c>
      <c r="C84" s="153" t="s">
        <v>229</v>
      </c>
      <c r="D84" s="189"/>
    </row>
    <row r="85" spans="1:4" x14ac:dyDescent="0.25">
      <c r="A85" t="s">
        <v>495</v>
      </c>
      <c r="B85" t="s">
        <v>494</v>
      </c>
      <c r="C85" s="153" t="s">
        <v>204</v>
      </c>
      <c r="D85" s="189"/>
    </row>
    <row r="86" spans="1:4" x14ac:dyDescent="0.25">
      <c r="A86" t="s">
        <v>493</v>
      </c>
      <c r="B86" t="s">
        <v>492</v>
      </c>
      <c r="C86" s="153" t="s">
        <v>199</v>
      </c>
      <c r="D86" s="189"/>
    </row>
    <row r="87" spans="1:4" x14ac:dyDescent="0.25">
      <c r="A87" t="s">
        <v>491</v>
      </c>
      <c r="B87" t="s">
        <v>490</v>
      </c>
      <c r="C87" s="153" t="s">
        <v>229</v>
      </c>
      <c r="D87" s="189"/>
    </row>
    <row r="88" spans="1:4" x14ac:dyDescent="0.25">
      <c r="A88" t="s">
        <v>489</v>
      </c>
      <c r="B88" t="s">
        <v>488</v>
      </c>
      <c r="C88" s="153" t="s">
        <v>229</v>
      </c>
      <c r="D88" s="189"/>
    </row>
    <row r="89" spans="1:4" x14ac:dyDescent="0.25">
      <c r="A89" t="s">
        <v>487</v>
      </c>
      <c r="B89" t="s">
        <v>486</v>
      </c>
      <c r="C89" s="153" t="s">
        <v>229</v>
      </c>
      <c r="D89" s="189"/>
    </row>
    <row r="90" spans="1:4" x14ac:dyDescent="0.25">
      <c r="A90" t="s">
        <v>485</v>
      </c>
      <c r="B90" t="s">
        <v>484</v>
      </c>
      <c r="C90" s="153" t="s">
        <v>192</v>
      </c>
      <c r="D90" s="189"/>
    </row>
    <row r="91" spans="1:4" x14ac:dyDescent="0.25">
      <c r="A91" t="s">
        <v>483</v>
      </c>
      <c r="B91" t="s">
        <v>482</v>
      </c>
      <c r="C91" s="153" t="s">
        <v>703</v>
      </c>
      <c r="D91" s="189"/>
    </row>
    <row r="92" spans="1:4" x14ac:dyDescent="0.25">
      <c r="A92" t="s">
        <v>481</v>
      </c>
      <c r="B92" t="s">
        <v>480</v>
      </c>
      <c r="C92" s="153" t="s">
        <v>703</v>
      </c>
      <c r="D92" s="189"/>
    </row>
    <row r="93" spans="1:4" x14ac:dyDescent="0.25">
      <c r="A93" t="s">
        <v>479</v>
      </c>
      <c r="B93" t="s">
        <v>478</v>
      </c>
      <c r="C93" s="153" t="s">
        <v>204</v>
      </c>
      <c r="D93" s="189"/>
    </row>
    <row r="94" spans="1:4" x14ac:dyDescent="0.25">
      <c r="A94" t="s">
        <v>477</v>
      </c>
      <c r="B94" t="s">
        <v>476</v>
      </c>
      <c r="C94" s="153" t="s">
        <v>192</v>
      </c>
      <c r="D94" s="189"/>
    </row>
    <row r="95" spans="1:4" x14ac:dyDescent="0.25">
      <c r="A95" t="s">
        <v>475</v>
      </c>
      <c r="B95" t="s">
        <v>474</v>
      </c>
      <c r="C95" s="153" t="s">
        <v>204</v>
      </c>
      <c r="D95" s="189"/>
    </row>
    <row r="96" spans="1:4" x14ac:dyDescent="0.25">
      <c r="A96" t="s">
        <v>473</v>
      </c>
      <c r="B96" t="s">
        <v>472</v>
      </c>
      <c r="C96" s="153" t="s">
        <v>199</v>
      </c>
      <c r="D96" s="189"/>
    </row>
    <row r="97" spans="1:4" x14ac:dyDescent="0.25">
      <c r="A97" t="s">
        <v>471</v>
      </c>
      <c r="B97" t="s">
        <v>470</v>
      </c>
      <c r="C97" s="153" t="s">
        <v>199</v>
      </c>
      <c r="D97" s="189"/>
    </row>
    <row r="98" spans="1:4" x14ac:dyDescent="0.25">
      <c r="A98" t="s">
        <v>469</v>
      </c>
      <c r="B98" t="s">
        <v>468</v>
      </c>
      <c r="C98" s="153" t="s">
        <v>229</v>
      </c>
      <c r="D98" s="189"/>
    </row>
    <row r="99" spans="1:4" x14ac:dyDescent="0.25">
      <c r="A99" t="s">
        <v>467</v>
      </c>
      <c r="B99" t="s">
        <v>466</v>
      </c>
      <c r="C99" s="153" t="s">
        <v>204</v>
      </c>
      <c r="D99" s="189"/>
    </row>
    <row r="100" spans="1:4" x14ac:dyDescent="0.25">
      <c r="A100" t="s">
        <v>465</v>
      </c>
      <c r="B100" t="s">
        <v>464</v>
      </c>
      <c r="C100" s="153" t="s">
        <v>204</v>
      </c>
      <c r="D100" s="189"/>
    </row>
    <row r="101" spans="1:4" x14ac:dyDescent="0.25">
      <c r="A101" t="s">
        <v>463</v>
      </c>
      <c r="B101" t="s">
        <v>462</v>
      </c>
      <c r="C101" s="153" t="s">
        <v>229</v>
      </c>
      <c r="D101" s="189"/>
    </row>
    <row r="102" spans="1:4" x14ac:dyDescent="0.25">
      <c r="A102" t="s">
        <v>461</v>
      </c>
      <c r="B102" t="s">
        <v>460</v>
      </c>
      <c r="C102" s="153" t="s">
        <v>703</v>
      </c>
      <c r="D102" s="189"/>
    </row>
    <row r="103" spans="1:4" x14ac:dyDescent="0.25">
      <c r="A103" t="s">
        <v>459</v>
      </c>
      <c r="B103" t="s">
        <v>458</v>
      </c>
      <c r="C103" s="153" t="s">
        <v>703</v>
      </c>
      <c r="D103" s="189"/>
    </row>
    <row r="104" spans="1:4" x14ac:dyDescent="0.25">
      <c r="A104" t="s">
        <v>457</v>
      </c>
      <c r="B104" t="s">
        <v>456</v>
      </c>
      <c r="C104" s="153" t="s">
        <v>199</v>
      </c>
      <c r="D104" s="189"/>
    </row>
    <row r="105" spans="1:4" x14ac:dyDescent="0.25">
      <c r="A105" t="s">
        <v>455</v>
      </c>
      <c r="B105" t="s">
        <v>454</v>
      </c>
      <c r="C105" s="153" t="s">
        <v>229</v>
      </c>
      <c r="D105" s="189"/>
    </row>
    <row r="106" spans="1:4" x14ac:dyDescent="0.25">
      <c r="A106" t="s">
        <v>453</v>
      </c>
      <c r="B106" t="s">
        <v>452</v>
      </c>
      <c r="C106" s="153" t="s">
        <v>199</v>
      </c>
      <c r="D106" s="189"/>
    </row>
    <row r="107" spans="1:4" x14ac:dyDescent="0.25">
      <c r="A107" t="s">
        <v>451</v>
      </c>
      <c r="B107" t="s">
        <v>450</v>
      </c>
      <c r="C107" s="153" t="s">
        <v>204</v>
      </c>
      <c r="D107" s="189"/>
    </row>
    <row r="108" spans="1:4" x14ac:dyDescent="0.25">
      <c r="A108" t="s">
        <v>449</v>
      </c>
      <c r="B108" t="s">
        <v>448</v>
      </c>
      <c r="C108" s="153" t="s">
        <v>204</v>
      </c>
      <c r="D108" s="189"/>
    </row>
    <row r="109" spans="1:4" x14ac:dyDescent="0.25">
      <c r="A109" t="s">
        <v>447</v>
      </c>
      <c r="B109" t="s">
        <v>446</v>
      </c>
      <c r="C109" s="153" t="s">
        <v>199</v>
      </c>
      <c r="D109" s="189"/>
    </row>
    <row r="110" spans="1:4" x14ac:dyDescent="0.25">
      <c r="A110" t="s">
        <v>445</v>
      </c>
      <c r="B110" t="s">
        <v>444</v>
      </c>
      <c r="C110" s="153" t="s">
        <v>229</v>
      </c>
      <c r="D110" s="189"/>
    </row>
    <row r="111" spans="1:4" x14ac:dyDescent="0.25">
      <c r="A111" t="s">
        <v>443</v>
      </c>
      <c r="B111" t="s">
        <v>442</v>
      </c>
      <c r="C111" s="153" t="s">
        <v>204</v>
      </c>
      <c r="D111" s="189"/>
    </row>
    <row r="112" spans="1:4" x14ac:dyDescent="0.25">
      <c r="A112" t="s">
        <v>441</v>
      </c>
      <c r="B112" t="s">
        <v>440</v>
      </c>
      <c r="C112" s="153" t="s">
        <v>204</v>
      </c>
      <c r="D112" s="189"/>
    </row>
    <row r="113" spans="1:4" x14ac:dyDescent="0.25">
      <c r="A113" t="s">
        <v>439</v>
      </c>
      <c r="B113" t="s">
        <v>438</v>
      </c>
      <c r="C113" s="153" t="s">
        <v>703</v>
      </c>
      <c r="D113" s="189"/>
    </row>
    <row r="114" spans="1:4" x14ac:dyDescent="0.25">
      <c r="A114" t="s">
        <v>437</v>
      </c>
      <c r="B114" t="s">
        <v>436</v>
      </c>
      <c r="C114" s="153" t="s">
        <v>229</v>
      </c>
      <c r="D114" s="189"/>
    </row>
    <row r="115" spans="1:4" x14ac:dyDescent="0.25">
      <c r="A115" t="s">
        <v>710</v>
      </c>
      <c r="B115" t="s">
        <v>711</v>
      </c>
      <c r="C115" s="153" t="s">
        <v>229</v>
      </c>
      <c r="D115" s="189"/>
    </row>
    <row r="116" spans="1:4" x14ac:dyDescent="0.25">
      <c r="A116" t="s">
        <v>435</v>
      </c>
      <c r="B116" t="s">
        <v>434</v>
      </c>
      <c r="C116" s="153" t="s">
        <v>229</v>
      </c>
      <c r="D116" s="189"/>
    </row>
    <row r="117" spans="1:4" x14ac:dyDescent="0.25">
      <c r="A117" t="s">
        <v>433</v>
      </c>
      <c r="B117" t="s">
        <v>432</v>
      </c>
      <c r="C117" s="153" t="s">
        <v>204</v>
      </c>
      <c r="D117" s="189"/>
    </row>
    <row r="118" spans="1:4" x14ac:dyDescent="0.25">
      <c r="A118" t="s">
        <v>431</v>
      </c>
      <c r="B118" t="s">
        <v>430</v>
      </c>
      <c r="C118" s="153" t="s">
        <v>204</v>
      </c>
      <c r="D118" s="189"/>
    </row>
    <row r="119" spans="1:4" x14ac:dyDescent="0.25">
      <c r="A119" t="s">
        <v>429</v>
      </c>
      <c r="B119" t="s">
        <v>428</v>
      </c>
      <c r="C119" s="153" t="s">
        <v>199</v>
      </c>
      <c r="D119" s="189"/>
    </row>
    <row r="120" spans="1:4" x14ac:dyDescent="0.25">
      <c r="A120" t="s">
        <v>427</v>
      </c>
      <c r="B120" t="s">
        <v>426</v>
      </c>
      <c r="C120" s="153" t="s">
        <v>703</v>
      </c>
      <c r="D120" s="189"/>
    </row>
    <row r="121" spans="1:4" x14ac:dyDescent="0.25">
      <c r="A121" t="s">
        <v>425</v>
      </c>
      <c r="B121" t="s">
        <v>424</v>
      </c>
      <c r="C121" s="153" t="s">
        <v>204</v>
      </c>
      <c r="D121" s="189"/>
    </row>
    <row r="122" spans="1:4" x14ac:dyDescent="0.25">
      <c r="A122" t="s">
        <v>423</v>
      </c>
      <c r="B122" t="s">
        <v>422</v>
      </c>
      <c r="C122" s="153" t="s">
        <v>204</v>
      </c>
      <c r="D122" s="189"/>
    </row>
    <row r="123" spans="1:4" x14ac:dyDescent="0.25">
      <c r="A123" t="s">
        <v>421</v>
      </c>
      <c r="B123" t="s">
        <v>420</v>
      </c>
      <c r="C123" s="153" t="s">
        <v>703</v>
      </c>
      <c r="D123" s="189"/>
    </row>
    <row r="124" spans="1:4" x14ac:dyDescent="0.25">
      <c r="A124" t="s">
        <v>419</v>
      </c>
      <c r="B124" t="s">
        <v>418</v>
      </c>
      <c r="C124" s="153" t="s">
        <v>199</v>
      </c>
      <c r="D124" s="189"/>
    </row>
    <row r="125" spans="1:4" x14ac:dyDescent="0.25">
      <c r="A125" t="s">
        <v>417</v>
      </c>
      <c r="B125" t="s">
        <v>416</v>
      </c>
      <c r="C125" s="153" t="s">
        <v>199</v>
      </c>
      <c r="D125" s="189"/>
    </row>
    <row r="126" spans="1:4" x14ac:dyDescent="0.25">
      <c r="A126" t="s">
        <v>415</v>
      </c>
      <c r="B126" t="s">
        <v>414</v>
      </c>
      <c r="C126" s="153" t="s">
        <v>199</v>
      </c>
      <c r="D126" s="189"/>
    </row>
    <row r="127" spans="1:4" x14ac:dyDescent="0.25">
      <c r="A127" t="s">
        <v>413</v>
      </c>
      <c r="B127" t="s">
        <v>412</v>
      </c>
      <c r="C127" s="153" t="s">
        <v>204</v>
      </c>
      <c r="D127" s="189"/>
    </row>
    <row r="128" spans="1:4" x14ac:dyDescent="0.25">
      <c r="A128" t="s">
        <v>411</v>
      </c>
      <c r="B128" t="s">
        <v>410</v>
      </c>
      <c r="C128" s="153" t="s">
        <v>204</v>
      </c>
      <c r="D128" s="189"/>
    </row>
    <row r="129" spans="1:4" x14ac:dyDescent="0.25">
      <c r="A129" t="s">
        <v>409</v>
      </c>
      <c r="B129" t="s">
        <v>408</v>
      </c>
      <c r="C129" s="153" t="s">
        <v>204</v>
      </c>
      <c r="D129" s="189"/>
    </row>
    <row r="130" spans="1:4" x14ac:dyDescent="0.25">
      <c r="A130" t="s">
        <v>407</v>
      </c>
      <c r="B130" t="s">
        <v>406</v>
      </c>
      <c r="C130" s="153" t="s">
        <v>204</v>
      </c>
      <c r="D130" s="189"/>
    </row>
    <row r="131" spans="1:4" x14ac:dyDescent="0.25">
      <c r="A131" t="s">
        <v>405</v>
      </c>
      <c r="B131" t="s">
        <v>404</v>
      </c>
      <c r="C131" s="153" t="s">
        <v>229</v>
      </c>
      <c r="D131" s="189"/>
    </row>
    <row r="132" spans="1:4" x14ac:dyDescent="0.25">
      <c r="A132" t="s">
        <v>403</v>
      </c>
      <c r="B132" t="s">
        <v>402</v>
      </c>
      <c r="C132" s="153" t="s">
        <v>229</v>
      </c>
      <c r="D132" s="189"/>
    </row>
    <row r="133" spans="1:4" x14ac:dyDescent="0.25">
      <c r="A133" t="s">
        <v>401</v>
      </c>
      <c r="B133" t="s">
        <v>400</v>
      </c>
      <c r="C133" s="153" t="s">
        <v>703</v>
      </c>
      <c r="D133" s="189"/>
    </row>
    <row r="134" spans="1:4" x14ac:dyDescent="0.25">
      <c r="A134" t="s">
        <v>399</v>
      </c>
      <c r="B134" t="s">
        <v>398</v>
      </c>
      <c r="C134" s="153" t="s">
        <v>229</v>
      </c>
      <c r="D134" s="189"/>
    </row>
    <row r="135" spans="1:4" x14ac:dyDescent="0.25">
      <c r="A135" t="s">
        <v>397</v>
      </c>
      <c r="B135" t="s">
        <v>396</v>
      </c>
      <c r="C135" s="153" t="s">
        <v>229</v>
      </c>
      <c r="D135" s="189"/>
    </row>
    <row r="136" spans="1:4" x14ac:dyDescent="0.25">
      <c r="A136" t="s">
        <v>395</v>
      </c>
      <c r="B136" t="s">
        <v>394</v>
      </c>
      <c r="C136" s="153" t="s">
        <v>229</v>
      </c>
      <c r="D136" s="189"/>
    </row>
    <row r="137" spans="1:4" x14ac:dyDescent="0.25">
      <c r="A137" t="s">
        <v>393</v>
      </c>
      <c r="B137" t="s">
        <v>392</v>
      </c>
      <c r="C137" s="153" t="s">
        <v>204</v>
      </c>
      <c r="D137" s="189"/>
    </row>
    <row r="138" spans="1:4" x14ac:dyDescent="0.25">
      <c r="A138" t="s">
        <v>391</v>
      </c>
      <c r="B138" t="s">
        <v>390</v>
      </c>
      <c r="C138" s="153" t="s">
        <v>229</v>
      </c>
      <c r="D138" s="189"/>
    </row>
    <row r="139" spans="1:4" x14ac:dyDescent="0.25">
      <c r="A139" t="s">
        <v>389</v>
      </c>
      <c r="B139" t="s">
        <v>388</v>
      </c>
      <c r="C139" s="153" t="s">
        <v>229</v>
      </c>
      <c r="D139" s="189"/>
    </row>
    <row r="140" spans="1:4" x14ac:dyDescent="0.25">
      <c r="A140" t="s">
        <v>387</v>
      </c>
      <c r="B140" t="s">
        <v>386</v>
      </c>
      <c r="C140" s="153" t="s">
        <v>204</v>
      </c>
      <c r="D140" s="189"/>
    </row>
    <row r="141" spans="1:4" x14ac:dyDescent="0.25">
      <c r="A141" t="s">
        <v>385</v>
      </c>
      <c r="B141" t="s">
        <v>384</v>
      </c>
      <c r="C141" s="153" t="s">
        <v>229</v>
      </c>
      <c r="D141" s="189"/>
    </row>
    <row r="142" spans="1:4" x14ac:dyDescent="0.25">
      <c r="A142" t="s">
        <v>383</v>
      </c>
      <c r="B142" t="s">
        <v>382</v>
      </c>
      <c r="C142" s="153" t="s">
        <v>192</v>
      </c>
      <c r="D142" s="189"/>
    </row>
    <row r="143" spans="1:4" x14ac:dyDescent="0.25">
      <c r="A143" t="s">
        <v>381</v>
      </c>
      <c r="B143" t="s">
        <v>380</v>
      </c>
      <c r="C143" s="153" t="s">
        <v>204</v>
      </c>
      <c r="D143" s="189"/>
    </row>
    <row r="144" spans="1:4" x14ac:dyDescent="0.25">
      <c r="A144" t="s">
        <v>379</v>
      </c>
      <c r="B144" t="s">
        <v>378</v>
      </c>
      <c r="C144" s="153" t="s">
        <v>229</v>
      </c>
      <c r="D144" s="189"/>
    </row>
    <row r="145" spans="1:4" x14ac:dyDescent="0.25">
      <c r="A145" t="s">
        <v>377</v>
      </c>
      <c r="B145" t="s">
        <v>376</v>
      </c>
      <c r="C145" s="153" t="s">
        <v>204</v>
      </c>
      <c r="D145" s="189"/>
    </row>
    <row r="146" spans="1:4" x14ac:dyDescent="0.25">
      <c r="A146" t="s">
        <v>375</v>
      </c>
      <c r="B146" t="s">
        <v>374</v>
      </c>
      <c r="C146" s="153" t="s">
        <v>229</v>
      </c>
      <c r="D146" s="189"/>
    </row>
    <row r="147" spans="1:4" x14ac:dyDescent="0.25">
      <c r="A147" t="s">
        <v>373</v>
      </c>
      <c r="B147" t="s">
        <v>372</v>
      </c>
      <c r="C147" s="153" t="s">
        <v>229</v>
      </c>
      <c r="D147" s="189"/>
    </row>
    <row r="148" spans="1:4" x14ac:dyDescent="0.25">
      <c r="A148" t="s">
        <v>371</v>
      </c>
      <c r="B148" t="s">
        <v>370</v>
      </c>
      <c r="C148" s="153" t="s">
        <v>192</v>
      </c>
      <c r="D148" s="189"/>
    </row>
    <row r="149" spans="1:4" x14ac:dyDescent="0.25">
      <c r="A149" t="s">
        <v>369</v>
      </c>
      <c r="B149" t="s">
        <v>368</v>
      </c>
      <c r="C149" s="153" t="s">
        <v>703</v>
      </c>
      <c r="D149" s="189"/>
    </row>
    <row r="150" spans="1:4" x14ac:dyDescent="0.25">
      <c r="A150" t="s">
        <v>367</v>
      </c>
      <c r="B150" t="s">
        <v>366</v>
      </c>
      <c r="C150" s="153" t="s">
        <v>204</v>
      </c>
      <c r="D150" s="189"/>
    </row>
    <row r="151" spans="1:4" x14ac:dyDescent="0.25">
      <c r="A151" t="s">
        <v>365</v>
      </c>
      <c r="B151" t="s">
        <v>364</v>
      </c>
      <c r="C151" s="153" t="s">
        <v>204</v>
      </c>
      <c r="D151" s="189"/>
    </row>
    <row r="152" spans="1:4" x14ac:dyDescent="0.25">
      <c r="A152" t="s">
        <v>363</v>
      </c>
      <c r="B152" t="s">
        <v>362</v>
      </c>
      <c r="C152" s="153" t="s">
        <v>199</v>
      </c>
      <c r="D152" s="189"/>
    </row>
    <row r="153" spans="1:4" x14ac:dyDescent="0.25">
      <c r="A153" t="s">
        <v>361</v>
      </c>
      <c r="B153" t="s">
        <v>360</v>
      </c>
      <c r="C153" s="153" t="s">
        <v>199</v>
      </c>
      <c r="D153" s="189"/>
    </row>
    <row r="154" spans="1:4" x14ac:dyDescent="0.25">
      <c r="A154" t="s">
        <v>359</v>
      </c>
      <c r="B154" t="s">
        <v>358</v>
      </c>
      <c r="C154" s="153" t="s">
        <v>229</v>
      </c>
      <c r="D154" s="189"/>
    </row>
    <row r="155" spans="1:4" x14ac:dyDescent="0.25">
      <c r="A155" t="s">
        <v>357</v>
      </c>
      <c r="B155" t="s">
        <v>356</v>
      </c>
      <c r="C155" s="153" t="s">
        <v>199</v>
      </c>
      <c r="D155" s="189"/>
    </row>
    <row r="156" spans="1:4" x14ac:dyDescent="0.25">
      <c r="A156" t="s">
        <v>355</v>
      </c>
      <c r="B156" t="s">
        <v>354</v>
      </c>
      <c r="C156" s="153" t="s">
        <v>703</v>
      </c>
      <c r="D156" s="189"/>
    </row>
    <row r="157" spans="1:4" x14ac:dyDescent="0.25">
      <c r="A157" t="s">
        <v>353</v>
      </c>
      <c r="B157" t="s">
        <v>352</v>
      </c>
      <c r="C157" s="153" t="s">
        <v>192</v>
      </c>
      <c r="D157" s="189"/>
    </row>
    <row r="158" spans="1:4" x14ac:dyDescent="0.25">
      <c r="A158" t="s">
        <v>351</v>
      </c>
      <c r="B158" t="s">
        <v>350</v>
      </c>
      <c r="C158" s="153" t="s">
        <v>204</v>
      </c>
      <c r="D158" s="189"/>
    </row>
    <row r="159" spans="1:4" x14ac:dyDescent="0.25">
      <c r="A159" t="s">
        <v>349</v>
      </c>
      <c r="B159" t="s">
        <v>348</v>
      </c>
      <c r="C159" s="153" t="s">
        <v>229</v>
      </c>
      <c r="D159" s="189"/>
    </row>
    <row r="160" spans="1:4" x14ac:dyDescent="0.25">
      <c r="A160" t="s">
        <v>347</v>
      </c>
      <c r="B160" t="s">
        <v>346</v>
      </c>
      <c r="C160" s="153" t="s">
        <v>199</v>
      </c>
      <c r="D160" s="189"/>
    </row>
    <row r="161" spans="1:4" x14ac:dyDescent="0.25">
      <c r="A161" t="s">
        <v>345</v>
      </c>
      <c r="B161" t="s">
        <v>344</v>
      </c>
      <c r="C161" s="153" t="s">
        <v>229</v>
      </c>
      <c r="D161" s="189"/>
    </row>
    <row r="162" spans="1:4" x14ac:dyDescent="0.25">
      <c r="A162" t="s">
        <v>343</v>
      </c>
      <c r="B162" t="s">
        <v>342</v>
      </c>
      <c r="C162" s="153" t="s">
        <v>192</v>
      </c>
      <c r="D162" s="189"/>
    </row>
    <row r="163" spans="1:4" x14ac:dyDescent="0.25">
      <c r="A163" t="s">
        <v>729</v>
      </c>
      <c r="B163" t="s">
        <v>730</v>
      </c>
      <c r="C163" s="153" t="s">
        <v>204</v>
      </c>
      <c r="D163" s="189"/>
    </row>
    <row r="164" spans="1:4" x14ac:dyDescent="0.25">
      <c r="A164" t="s">
        <v>341</v>
      </c>
      <c r="B164" t="s">
        <v>340</v>
      </c>
      <c r="C164" s="153" t="s">
        <v>204</v>
      </c>
      <c r="D164" s="189"/>
    </row>
    <row r="165" spans="1:4" x14ac:dyDescent="0.25">
      <c r="A165" t="s">
        <v>339</v>
      </c>
      <c r="B165" t="s">
        <v>338</v>
      </c>
      <c r="C165" s="153" t="s">
        <v>204</v>
      </c>
      <c r="D165" s="189"/>
    </row>
    <row r="166" spans="1:4" x14ac:dyDescent="0.25">
      <c r="A166" t="s">
        <v>337</v>
      </c>
      <c r="B166" t="s">
        <v>336</v>
      </c>
      <c r="C166" s="153" t="s">
        <v>204</v>
      </c>
      <c r="D166" s="189"/>
    </row>
    <row r="167" spans="1:4" x14ac:dyDescent="0.25">
      <c r="A167" t="s">
        <v>335</v>
      </c>
      <c r="B167" t="s">
        <v>334</v>
      </c>
      <c r="C167" s="153" t="s">
        <v>204</v>
      </c>
      <c r="D167" s="189"/>
    </row>
    <row r="168" spans="1:4" x14ac:dyDescent="0.25">
      <c r="A168" t="s">
        <v>333</v>
      </c>
      <c r="B168" t="s">
        <v>332</v>
      </c>
      <c r="C168" s="153" t="s">
        <v>204</v>
      </c>
      <c r="D168" s="189"/>
    </row>
    <row r="169" spans="1:4" x14ac:dyDescent="0.25">
      <c r="A169" t="s">
        <v>331</v>
      </c>
      <c r="B169" t="s">
        <v>330</v>
      </c>
      <c r="C169" s="153" t="s">
        <v>229</v>
      </c>
      <c r="D169" s="189"/>
    </row>
    <row r="170" spans="1:4" x14ac:dyDescent="0.25">
      <c r="A170" t="s">
        <v>329</v>
      </c>
      <c r="B170" t="s">
        <v>328</v>
      </c>
      <c r="C170" s="153" t="s">
        <v>229</v>
      </c>
      <c r="D170" s="189"/>
    </row>
    <row r="171" spans="1:4" x14ac:dyDescent="0.25">
      <c r="A171" t="s">
        <v>327</v>
      </c>
      <c r="B171" t="s">
        <v>326</v>
      </c>
      <c r="C171" s="153" t="s">
        <v>199</v>
      </c>
      <c r="D171" s="189"/>
    </row>
    <row r="172" spans="1:4" x14ac:dyDescent="0.25">
      <c r="A172" t="s">
        <v>325</v>
      </c>
      <c r="B172" t="s">
        <v>324</v>
      </c>
      <c r="C172" s="153" t="s">
        <v>229</v>
      </c>
      <c r="D172" s="189"/>
    </row>
    <row r="173" spans="1:4" x14ac:dyDescent="0.25">
      <c r="A173" t="s">
        <v>323</v>
      </c>
      <c r="B173" t="s">
        <v>322</v>
      </c>
      <c r="C173" s="153" t="s">
        <v>229</v>
      </c>
      <c r="D173" s="189"/>
    </row>
    <row r="174" spans="1:4" x14ac:dyDescent="0.25">
      <c r="A174" t="s">
        <v>321</v>
      </c>
      <c r="B174" t="s">
        <v>320</v>
      </c>
      <c r="C174" s="153" t="s">
        <v>229</v>
      </c>
      <c r="D174" s="189"/>
    </row>
    <row r="175" spans="1:4" x14ac:dyDescent="0.25">
      <c r="A175" t="s">
        <v>319</v>
      </c>
      <c r="B175" t="s">
        <v>318</v>
      </c>
      <c r="C175" s="153" t="s">
        <v>229</v>
      </c>
      <c r="D175" s="189"/>
    </row>
    <row r="176" spans="1:4" x14ac:dyDescent="0.25">
      <c r="A176" t="s">
        <v>317</v>
      </c>
      <c r="B176" t="s">
        <v>316</v>
      </c>
      <c r="C176" s="153" t="s">
        <v>703</v>
      </c>
      <c r="D176" s="189"/>
    </row>
    <row r="177" spans="1:4" x14ac:dyDescent="0.25">
      <c r="A177" t="s">
        <v>315</v>
      </c>
      <c r="B177" t="s">
        <v>314</v>
      </c>
      <c r="C177" s="153" t="s">
        <v>229</v>
      </c>
      <c r="D177" s="189"/>
    </row>
    <row r="178" spans="1:4" x14ac:dyDescent="0.25">
      <c r="A178" t="s">
        <v>313</v>
      </c>
      <c r="B178" t="s">
        <v>312</v>
      </c>
      <c r="C178" s="153" t="s">
        <v>229</v>
      </c>
      <c r="D178" s="189"/>
    </row>
    <row r="179" spans="1:4" x14ac:dyDescent="0.25">
      <c r="A179" t="s">
        <v>311</v>
      </c>
      <c r="B179" t="s">
        <v>310</v>
      </c>
      <c r="C179" s="153" t="s">
        <v>229</v>
      </c>
      <c r="D179" s="189"/>
    </row>
    <row r="180" spans="1:4" x14ac:dyDescent="0.25">
      <c r="A180" t="s">
        <v>309</v>
      </c>
      <c r="B180" t="s">
        <v>308</v>
      </c>
      <c r="C180" s="153" t="s">
        <v>229</v>
      </c>
      <c r="D180" s="189"/>
    </row>
    <row r="181" spans="1:4" x14ac:dyDescent="0.25">
      <c r="A181" t="s">
        <v>307</v>
      </c>
      <c r="B181" t="s">
        <v>306</v>
      </c>
      <c r="C181" s="153" t="s">
        <v>229</v>
      </c>
      <c r="D181" s="189"/>
    </row>
    <row r="182" spans="1:4" x14ac:dyDescent="0.25">
      <c r="A182" t="s">
        <v>305</v>
      </c>
      <c r="B182" t="s">
        <v>304</v>
      </c>
      <c r="C182" s="153" t="s">
        <v>229</v>
      </c>
      <c r="D182" s="189"/>
    </row>
    <row r="183" spans="1:4" x14ac:dyDescent="0.25">
      <c r="A183" t="s">
        <v>303</v>
      </c>
      <c r="B183" t="s">
        <v>302</v>
      </c>
      <c r="C183" s="153" t="s">
        <v>199</v>
      </c>
      <c r="D183" s="189"/>
    </row>
    <row r="184" spans="1:4" x14ac:dyDescent="0.25">
      <c r="A184" t="s">
        <v>301</v>
      </c>
      <c r="B184" t="s">
        <v>300</v>
      </c>
      <c r="C184" s="153" t="s">
        <v>229</v>
      </c>
      <c r="D184" s="189"/>
    </row>
    <row r="185" spans="1:4" x14ac:dyDescent="0.25">
      <c r="A185" t="s">
        <v>299</v>
      </c>
      <c r="B185" t="s">
        <v>298</v>
      </c>
      <c r="C185" s="153" t="s">
        <v>204</v>
      </c>
      <c r="D185" s="189"/>
    </row>
    <row r="186" spans="1:4" x14ac:dyDescent="0.25">
      <c r="A186" t="s">
        <v>297</v>
      </c>
      <c r="B186" t="s">
        <v>296</v>
      </c>
      <c r="C186" s="153" t="s">
        <v>204</v>
      </c>
      <c r="D186" s="189"/>
    </row>
    <row r="187" spans="1:4" x14ac:dyDescent="0.25">
      <c r="A187" t="s">
        <v>295</v>
      </c>
      <c r="B187" t="s">
        <v>294</v>
      </c>
      <c r="C187" s="153" t="s">
        <v>229</v>
      </c>
      <c r="D187" s="189"/>
    </row>
    <row r="188" spans="1:4" x14ac:dyDescent="0.25">
      <c r="A188" t="s">
        <v>293</v>
      </c>
      <c r="B188" t="s">
        <v>292</v>
      </c>
      <c r="C188" s="153" t="s">
        <v>204</v>
      </c>
      <c r="D188" s="189"/>
    </row>
    <row r="189" spans="1:4" x14ac:dyDescent="0.25">
      <c r="A189" t="s">
        <v>291</v>
      </c>
      <c r="B189" t="s">
        <v>290</v>
      </c>
      <c r="C189" s="153" t="s">
        <v>199</v>
      </c>
      <c r="D189" s="189"/>
    </row>
    <row r="190" spans="1:4" x14ac:dyDescent="0.25">
      <c r="A190" t="s">
        <v>289</v>
      </c>
      <c r="B190" t="s">
        <v>288</v>
      </c>
      <c r="C190" s="153" t="s">
        <v>204</v>
      </c>
      <c r="D190" s="189"/>
    </row>
    <row r="191" spans="1:4" x14ac:dyDescent="0.25">
      <c r="A191" t="s">
        <v>287</v>
      </c>
      <c r="B191" t="s">
        <v>286</v>
      </c>
      <c r="C191" s="153" t="s">
        <v>229</v>
      </c>
      <c r="D191" s="189"/>
    </row>
    <row r="192" spans="1:4" x14ac:dyDescent="0.25">
      <c r="A192" t="s">
        <v>285</v>
      </c>
      <c r="B192" t="s">
        <v>284</v>
      </c>
      <c r="C192" s="153" t="s">
        <v>199</v>
      </c>
      <c r="D192" s="189"/>
    </row>
    <row r="193" spans="1:4" x14ac:dyDescent="0.25">
      <c r="A193" t="s">
        <v>283</v>
      </c>
      <c r="B193" t="s">
        <v>282</v>
      </c>
      <c r="C193" s="153" t="s">
        <v>229</v>
      </c>
      <c r="D193" s="189"/>
    </row>
    <row r="194" spans="1:4" x14ac:dyDescent="0.25">
      <c r="A194" t="s">
        <v>281</v>
      </c>
      <c r="B194" t="s">
        <v>280</v>
      </c>
      <c r="C194" s="153" t="s">
        <v>703</v>
      </c>
      <c r="D194" s="189"/>
    </row>
    <row r="195" spans="1:4" x14ac:dyDescent="0.25">
      <c r="A195" t="s">
        <v>279</v>
      </c>
      <c r="B195" t="s">
        <v>278</v>
      </c>
      <c r="C195" s="153" t="s">
        <v>204</v>
      </c>
      <c r="D195" s="189"/>
    </row>
    <row r="196" spans="1:4" x14ac:dyDescent="0.25">
      <c r="A196" t="s">
        <v>277</v>
      </c>
      <c r="B196" t="s">
        <v>276</v>
      </c>
      <c r="C196" s="153" t="s">
        <v>703</v>
      </c>
      <c r="D196" s="189"/>
    </row>
    <row r="197" spans="1:4" x14ac:dyDescent="0.25">
      <c r="A197" t="s">
        <v>275</v>
      </c>
      <c r="B197" t="s">
        <v>274</v>
      </c>
      <c r="C197" s="153" t="s">
        <v>199</v>
      </c>
      <c r="D197" s="189"/>
    </row>
    <row r="198" spans="1:4" x14ac:dyDescent="0.25">
      <c r="A198" t="s">
        <v>273</v>
      </c>
      <c r="B198" t="s">
        <v>272</v>
      </c>
      <c r="C198" s="153" t="s">
        <v>204</v>
      </c>
      <c r="D198" s="189"/>
    </row>
    <row r="199" spans="1:4" x14ac:dyDescent="0.25">
      <c r="A199" t="s">
        <v>271</v>
      </c>
      <c r="B199" t="s">
        <v>270</v>
      </c>
      <c r="C199" s="153" t="s">
        <v>229</v>
      </c>
      <c r="D199" s="189"/>
    </row>
    <row r="200" spans="1:4" x14ac:dyDescent="0.25">
      <c r="A200" t="s">
        <v>269</v>
      </c>
      <c r="B200" t="s">
        <v>268</v>
      </c>
      <c r="C200" s="153" t="s">
        <v>229</v>
      </c>
      <c r="D200" s="189"/>
    </row>
    <row r="201" spans="1:4" x14ac:dyDescent="0.25">
      <c r="A201" t="s">
        <v>267</v>
      </c>
      <c r="B201" t="s">
        <v>266</v>
      </c>
      <c r="C201" s="153" t="s">
        <v>229</v>
      </c>
      <c r="D201" s="189"/>
    </row>
    <row r="202" spans="1:4" x14ac:dyDescent="0.25">
      <c r="A202" t="s">
        <v>265</v>
      </c>
      <c r="B202" t="s">
        <v>264</v>
      </c>
      <c r="C202" s="153" t="s">
        <v>229</v>
      </c>
      <c r="D202" s="189"/>
    </row>
    <row r="203" spans="1:4" x14ac:dyDescent="0.25">
      <c r="A203" t="s">
        <v>263</v>
      </c>
      <c r="B203" t="s">
        <v>262</v>
      </c>
      <c r="C203" s="153" t="s">
        <v>703</v>
      </c>
      <c r="D203" s="189"/>
    </row>
    <row r="204" spans="1:4" x14ac:dyDescent="0.25">
      <c r="A204" t="s">
        <v>261</v>
      </c>
      <c r="B204" t="s">
        <v>260</v>
      </c>
      <c r="C204" s="153" t="s">
        <v>229</v>
      </c>
      <c r="D204" s="189"/>
    </row>
    <row r="205" spans="1:4" x14ac:dyDescent="0.25">
      <c r="A205" t="s">
        <v>259</v>
      </c>
      <c r="B205" t="s">
        <v>258</v>
      </c>
      <c r="C205" s="153" t="s">
        <v>204</v>
      </c>
      <c r="D205" s="189"/>
    </row>
    <row r="206" spans="1:4" x14ac:dyDescent="0.25">
      <c r="A206" t="s">
        <v>257</v>
      </c>
      <c r="B206" t="s">
        <v>256</v>
      </c>
      <c r="C206" s="153" t="s">
        <v>199</v>
      </c>
      <c r="D206" s="189"/>
    </row>
    <row r="207" spans="1:4" x14ac:dyDescent="0.25">
      <c r="A207" t="s">
        <v>255</v>
      </c>
      <c r="B207" t="s">
        <v>254</v>
      </c>
      <c r="C207" s="153" t="s">
        <v>199</v>
      </c>
      <c r="D207" s="189"/>
    </row>
    <row r="208" spans="1:4" x14ac:dyDescent="0.25">
      <c r="A208" t="s">
        <v>253</v>
      </c>
      <c r="B208" t="s">
        <v>252</v>
      </c>
      <c r="C208" s="153" t="s">
        <v>703</v>
      </c>
      <c r="D208" s="189"/>
    </row>
    <row r="209" spans="1:4" x14ac:dyDescent="0.25">
      <c r="A209" t="s">
        <v>251</v>
      </c>
      <c r="B209" t="s">
        <v>250</v>
      </c>
      <c r="C209" s="153" t="s">
        <v>229</v>
      </c>
      <c r="D209" s="189"/>
    </row>
    <row r="210" spans="1:4" x14ac:dyDescent="0.25">
      <c r="A210" t="s">
        <v>249</v>
      </c>
      <c r="B210" t="s">
        <v>248</v>
      </c>
      <c r="C210" s="153" t="s">
        <v>204</v>
      </c>
      <c r="D210" s="189"/>
    </row>
    <row r="211" spans="1:4" x14ac:dyDescent="0.25">
      <c r="A211" t="s">
        <v>247</v>
      </c>
      <c r="B211" t="s">
        <v>246</v>
      </c>
      <c r="C211" s="153" t="s">
        <v>204</v>
      </c>
      <c r="D211" s="189"/>
    </row>
    <row r="212" spans="1:4" x14ac:dyDescent="0.25">
      <c r="A212" t="s">
        <v>245</v>
      </c>
      <c r="B212" t="s">
        <v>244</v>
      </c>
      <c r="C212" s="153" t="s">
        <v>229</v>
      </c>
      <c r="D212" s="189"/>
    </row>
    <row r="213" spans="1:4" x14ac:dyDescent="0.25">
      <c r="A213" t="s">
        <v>243</v>
      </c>
      <c r="B213" t="s">
        <v>242</v>
      </c>
      <c r="C213" s="153" t="s">
        <v>204</v>
      </c>
      <c r="D213" s="189"/>
    </row>
    <row r="214" spans="1:4" x14ac:dyDescent="0.25">
      <c r="A214" t="s">
        <v>241</v>
      </c>
      <c r="B214" t="s">
        <v>240</v>
      </c>
      <c r="C214" s="153" t="s">
        <v>229</v>
      </c>
      <c r="D214" s="189"/>
    </row>
    <row r="215" spans="1:4" x14ac:dyDescent="0.25">
      <c r="A215" t="s">
        <v>239</v>
      </c>
      <c r="B215" t="s">
        <v>238</v>
      </c>
      <c r="C215" s="153" t="s">
        <v>229</v>
      </c>
      <c r="D215" s="189"/>
    </row>
    <row r="216" spans="1:4" x14ac:dyDescent="0.25">
      <c r="A216" t="s">
        <v>237</v>
      </c>
      <c r="B216" t="s">
        <v>236</v>
      </c>
      <c r="C216" s="153" t="s">
        <v>229</v>
      </c>
      <c r="D216" s="189"/>
    </row>
    <row r="217" spans="1:4" x14ac:dyDescent="0.25">
      <c r="A217" t="s">
        <v>235</v>
      </c>
      <c r="B217" t="s">
        <v>234</v>
      </c>
      <c r="C217" s="153" t="s">
        <v>204</v>
      </c>
      <c r="D217" s="189"/>
    </row>
    <row r="218" spans="1:4" x14ac:dyDescent="0.25">
      <c r="A218" t="s">
        <v>233</v>
      </c>
      <c r="B218" t="s">
        <v>232</v>
      </c>
      <c r="C218" s="153" t="s">
        <v>204</v>
      </c>
      <c r="D218" s="189"/>
    </row>
    <row r="219" spans="1:4" x14ac:dyDescent="0.25">
      <c r="A219" t="s">
        <v>231</v>
      </c>
      <c r="B219" t="s">
        <v>230</v>
      </c>
      <c r="C219" s="153" t="s">
        <v>229</v>
      </c>
      <c r="D219" s="189"/>
    </row>
    <row r="220" spans="1:4" x14ac:dyDescent="0.25">
      <c r="A220" t="s">
        <v>228</v>
      </c>
      <c r="B220" t="s">
        <v>227</v>
      </c>
      <c r="C220" s="153" t="s">
        <v>229</v>
      </c>
      <c r="D220" s="189"/>
    </row>
    <row r="221" spans="1:4" x14ac:dyDescent="0.25">
      <c r="A221" t="s">
        <v>226</v>
      </c>
      <c r="B221" t="s">
        <v>225</v>
      </c>
      <c r="C221" s="153" t="s">
        <v>199</v>
      </c>
      <c r="D221" s="189"/>
    </row>
    <row r="222" spans="1:4" x14ac:dyDescent="0.25">
      <c r="A222" t="s">
        <v>224</v>
      </c>
      <c r="B222" t="s">
        <v>223</v>
      </c>
      <c r="C222" s="153" t="s">
        <v>204</v>
      </c>
      <c r="D222" s="189"/>
    </row>
    <row r="223" spans="1:4" x14ac:dyDescent="0.25">
      <c r="A223" t="s">
        <v>222</v>
      </c>
      <c r="B223" t="s">
        <v>221</v>
      </c>
      <c r="C223" s="153" t="s">
        <v>192</v>
      </c>
      <c r="D223" s="189"/>
    </row>
    <row r="224" spans="1:4" x14ac:dyDescent="0.25">
      <c r="A224" t="s">
        <v>220</v>
      </c>
      <c r="B224" t="s">
        <v>219</v>
      </c>
      <c r="C224" s="153" t="s">
        <v>229</v>
      </c>
      <c r="D224" s="189"/>
    </row>
    <row r="225" spans="1:4" x14ac:dyDescent="0.25">
      <c r="A225" t="s">
        <v>218</v>
      </c>
      <c r="B225" t="s">
        <v>217</v>
      </c>
      <c r="C225" s="153" t="s">
        <v>204</v>
      </c>
      <c r="D225" s="189"/>
    </row>
    <row r="226" spans="1:4" x14ac:dyDescent="0.25">
      <c r="A226" t="s">
        <v>216</v>
      </c>
      <c r="B226" t="s">
        <v>215</v>
      </c>
      <c r="C226" s="153" t="s">
        <v>229</v>
      </c>
      <c r="D226" s="189"/>
    </row>
    <row r="227" spans="1:4" x14ac:dyDescent="0.25">
      <c r="A227" t="s">
        <v>214</v>
      </c>
      <c r="B227" t="s">
        <v>213</v>
      </c>
      <c r="C227" s="153" t="s">
        <v>229</v>
      </c>
      <c r="D227" s="189"/>
    </row>
    <row r="228" spans="1:4" x14ac:dyDescent="0.25">
      <c r="A228" t="s">
        <v>212</v>
      </c>
      <c r="B228" t="s">
        <v>211</v>
      </c>
      <c r="C228" s="153" t="s">
        <v>703</v>
      </c>
      <c r="D228" s="189"/>
    </row>
    <row r="229" spans="1:4" x14ac:dyDescent="0.25">
      <c r="A229" t="s">
        <v>210</v>
      </c>
      <c r="B229" t="s">
        <v>209</v>
      </c>
      <c r="C229" s="153" t="s">
        <v>204</v>
      </c>
      <c r="D229" s="189"/>
    </row>
    <row r="230" spans="1:4" x14ac:dyDescent="0.25">
      <c r="A230" t="s">
        <v>208</v>
      </c>
      <c r="B230" t="s">
        <v>207</v>
      </c>
      <c r="C230" s="153" t="s">
        <v>229</v>
      </c>
      <c r="D230" s="189"/>
    </row>
    <row r="231" spans="1:4" x14ac:dyDescent="0.25">
      <c r="A231" t="s">
        <v>206</v>
      </c>
      <c r="B231" t="s">
        <v>205</v>
      </c>
      <c r="C231" s="153" t="s">
        <v>229</v>
      </c>
      <c r="D231" s="189"/>
    </row>
    <row r="232" spans="1:4" x14ac:dyDescent="0.25">
      <c r="A232" t="s">
        <v>203</v>
      </c>
      <c r="B232" t="s">
        <v>202</v>
      </c>
      <c r="C232" s="153" t="s">
        <v>199</v>
      </c>
      <c r="D232" s="189"/>
    </row>
    <row r="233" spans="1:4" x14ac:dyDescent="0.25">
      <c r="A233" t="s">
        <v>201</v>
      </c>
      <c r="B233" t="s">
        <v>200</v>
      </c>
      <c r="C233" s="153" t="s">
        <v>229</v>
      </c>
      <c r="D233" s="189"/>
    </row>
    <row r="234" spans="1:4" x14ac:dyDescent="0.25">
      <c r="A234" t="s">
        <v>198</v>
      </c>
      <c r="B234" t="s">
        <v>197</v>
      </c>
      <c r="C234" s="153" t="s">
        <v>703</v>
      </c>
      <c r="D234" s="189"/>
    </row>
    <row r="235" spans="1:4" x14ac:dyDescent="0.25">
      <c r="A235" t="s">
        <v>196</v>
      </c>
      <c r="B235" t="s">
        <v>195</v>
      </c>
      <c r="C235" s="153" t="s">
        <v>204</v>
      </c>
      <c r="D235" s="189"/>
    </row>
    <row r="236" spans="1:4" ht="15.75" thickBot="1" x14ac:dyDescent="0.3">
      <c r="A236" t="s">
        <v>194</v>
      </c>
      <c r="B236" t="s">
        <v>193</v>
      </c>
      <c r="C236" s="152" t="s">
        <v>192</v>
      </c>
      <c r="D236" s="189"/>
    </row>
    <row r="237" spans="1:4" x14ac:dyDescent="0.25">
      <c r="B237" t="s">
        <v>731</v>
      </c>
      <c r="C237" s="153" t="s">
        <v>199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42</vt:i4>
      </vt:variant>
    </vt:vector>
  </HeadingPairs>
  <TitlesOfParts>
    <vt:vector size="52" baseType="lpstr">
      <vt:lpstr>AIP Indicator</vt:lpstr>
      <vt:lpstr>Input</vt:lpstr>
      <vt:lpstr>Output</vt:lpstr>
      <vt:lpstr>Calculations</vt:lpstr>
      <vt:lpstr>Mortgage Certificate</vt:lpstr>
      <vt:lpstr>Metrics &amp; Drop Downs</vt:lpstr>
      <vt:lpstr>Risk Assessment New Client</vt:lpstr>
      <vt:lpstr>Calculation</vt:lpstr>
      <vt:lpstr>Risk Ratings</vt:lpstr>
      <vt:lpstr>Sheet1</vt:lpstr>
      <vt:lpstr>Amount_Requested</vt:lpstr>
      <vt:lpstr>BTL_Affordability</vt:lpstr>
      <vt:lpstr>BTL_Min_Income</vt:lpstr>
      <vt:lpstr>Buy_to_Let</vt:lpstr>
      <vt:lpstr>C_and_I</vt:lpstr>
      <vt:lpstr>DoB_App_1</vt:lpstr>
      <vt:lpstr>DoB_App_2</vt:lpstr>
      <vt:lpstr>Employment_Status</vt:lpstr>
      <vt:lpstr>Extra_Rent_Affordability</vt:lpstr>
      <vt:lpstr>First_App_Age</vt:lpstr>
      <vt:lpstr>Income</vt:lpstr>
      <vt:lpstr>LTV</vt:lpstr>
      <vt:lpstr>Max_Age</vt:lpstr>
      <vt:lpstr>Max_App_Age</vt:lpstr>
      <vt:lpstr>Max_Joint_Age</vt:lpstr>
      <vt:lpstr>Max_Loan_Available</vt:lpstr>
      <vt:lpstr>Min_App_Age</vt:lpstr>
      <vt:lpstr>Min_Valuation</vt:lpstr>
      <vt:lpstr>Overall_Max_LTV</vt:lpstr>
      <vt:lpstr>'Mortgage Certificate'!Print_Area</vt:lpstr>
      <vt:lpstr>Product_Term</vt:lpstr>
      <vt:lpstr>Product_Type</vt:lpstr>
      <vt:lpstr>Property_Value</vt:lpstr>
      <vt:lpstr>Refer_Affordability_Perc</vt:lpstr>
      <vt:lpstr>Refer_Age</vt:lpstr>
      <vt:lpstr>Refer_Age_Self_Employed</vt:lpstr>
      <vt:lpstr>Refer_LTV_Perc</vt:lpstr>
      <vt:lpstr>Refer_Max</vt:lpstr>
      <vt:lpstr>Refer_Min</vt:lpstr>
      <vt:lpstr>Rent_mth</vt:lpstr>
      <vt:lpstr>Requested_Term</vt:lpstr>
      <vt:lpstr>SE_App_1</vt:lpstr>
      <vt:lpstr>SE_App_2</vt:lpstr>
      <vt:lpstr>Second_App_Age</vt:lpstr>
      <vt:lpstr>Selected_Product</vt:lpstr>
      <vt:lpstr>Standard_Variable_Rate</vt:lpstr>
      <vt:lpstr>Stress_C_and_I</vt:lpstr>
      <vt:lpstr>Title</vt:lpstr>
      <vt:lpstr>Tolerance_ICR</vt:lpstr>
      <vt:lpstr>Tolerance_Income</vt:lpstr>
      <vt:lpstr>Tolerance_Min_Loan</vt:lpstr>
      <vt:lpstr>Tolerance_Valid</vt:lpstr>
    </vt:vector>
  </TitlesOfParts>
  <Company>Skipton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55444</dc:creator>
  <cp:lastModifiedBy>Chris Rowe</cp:lastModifiedBy>
  <cp:lastPrinted>2023-02-02T14:45:22Z</cp:lastPrinted>
  <dcterms:created xsi:type="dcterms:W3CDTF">2011-05-31T15:38:09Z</dcterms:created>
  <dcterms:modified xsi:type="dcterms:W3CDTF">2024-08-30T08:40:30Z</dcterms:modified>
</cp:coreProperties>
</file>